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2 - Museum Development\Benchmarking\2016-17\"/>
    </mc:Choice>
  </mc:AlternateContent>
  <bookViews>
    <workbookView xWindow="-120" yWindow="525" windowWidth="22485" windowHeight="12375"/>
  </bookViews>
  <sheets>
    <sheet name="Sheet1" sheetId="1" r:id="rId1"/>
    <sheet name="Sheet4" sheetId="4" r:id="rId2"/>
    <sheet name="Finance 1" sheetId="12" r:id="rId3"/>
  </sheets>
  <definedNames>
    <definedName name="_xlnm._FilterDatabase" localSheetId="2" hidden="1">'Finance 1'!$A$1:$AF$184</definedName>
    <definedName name="_xlnm._FilterDatabase" localSheetId="0" hidden="1">Sheet1!$A$2:$BX$181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V4" i="1" l="1"/>
  <c r="BV5" i="1"/>
  <c r="BV6" i="1"/>
  <c r="BV7" i="1"/>
  <c r="BV8" i="1"/>
  <c r="BV9" i="1"/>
  <c r="BV10" i="1"/>
  <c r="BV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BV111" i="1"/>
  <c r="BV112" i="1"/>
  <c r="BV113" i="1"/>
  <c r="BV114" i="1"/>
  <c r="BV115" i="1"/>
  <c r="BV116" i="1"/>
  <c r="BV117" i="1"/>
  <c r="BV118" i="1"/>
  <c r="BV119" i="1"/>
  <c r="BV120" i="1"/>
  <c r="BV121" i="1"/>
  <c r="BV122" i="1"/>
  <c r="BV123" i="1"/>
  <c r="BV124" i="1"/>
  <c r="BV125" i="1"/>
  <c r="BV126" i="1"/>
  <c r="BV127" i="1"/>
  <c r="BV128" i="1"/>
  <c r="BV129" i="1"/>
  <c r="BV130" i="1"/>
  <c r="BV131" i="1"/>
  <c r="BV132" i="1"/>
  <c r="BV133" i="1"/>
  <c r="BV134" i="1"/>
  <c r="BV135" i="1"/>
  <c r="BV136" i="1"/>
  <c r="BV137" i="1"/>
  <c r="BV138" i="1"/>
  <c r="BV139" i="1"/>
  <c r="BV140" i="1"/>
  <c r="BV141" i="1"/>
  <c r="BV142" i="1"/>
  <c r="BV143" i="1"/>
  <c r="BV144" i="1"/>
  <c r="BV145" i="1"/>
  <c r="BV146" i="1"/>
  <c r="BV147" i="1"/>
  <c r="BV148" i="1"/>
  <c r="BV149" i="1"/>
  <c r="BV150" i="1"/>
  <c r="BV151" i="1"/>
  <c r="BV152" i="1"/>
  <c r="BV153" i="1"/>
  <c r="BV154" i="1"/>
  <c r="BV155" i="1"/>
  <c r="BV156" i="1"/>
  <c r="BV157" i="1"/>
  <c r="BV158" i="1"/>
  <c r="BV159" i="1"/>
  <c r="BV160" i="1"/>
  <c r="BV161" i="1"/>
  <c r="BV162" i="1"/>
  <c r="BV163" i="1"/>
  <c r="BV164" i="1"/>
  <c r="BV165" i="1"/>
  <c r="BV166" i="1"/>
  <c r="BV167" i="1"/>
  <c r="BV168" i="1"/>
  <c r="BV169" i="1"/>
  <c r="BV170" i="1"/>
  <c r="BV171" i="1"/>
  <c r="BV172" i="1"/>
  <c r="BV173" i="1"/>
  <c r="BV174" i="1"/>
  <c r="BV175" i="1"/>
  <c r="BV176" i="1"/>
  <c r="BV177" i="1"/>
  <c r="BV178" i="1"/>
  <c r="BV179" i="1"/>
  <c r="BV180" i="1"/>
  <c r="BV181" i="1"/>
  <c r="BV182" i="1"/>
  <c r="BV183" i="1"/>
  <c r="BV3" i="1"/>
  <c r="AD4" i="1"/>
  <c r="BS4" i="1"/>
  <c r="BT4" i="1"/>
  <c r="AD5" i="1"/>
  <c r="BS5" i="1"/>
  <c r="BT5" i="1"/>
  <c r="AD7" i="1"/>
  <c r="BS7" i="1"/>
  <c r="BT7" i="1"/>
  <c r="AD9" i="1"/>
  <c r="BS9" i="1"/>
  <c r="BT9" i="1"/>
  <c r="AD11" i="1"/>
  <c r="BS11" i="1"/>
  <c r="BT11" i="1"/>
  <c r="AD13" i="1"/>
  <c r="BS13" i="1"/>
  <c r="BT13" i="1"/>
  <c r="AD15" i="1"/>
  <c r="BS15" i="1"/>
  <c r="BT15" i="1"/>
  <c r="AD17" i="1"/>
  <c r="BS17" i="1"/>
  <c r="BT17" i="1"/>
  <c r="AD18" i="1"/>
  <c r="BS18" i="1"/>
  <c r="BT18" i="1"/>
  <c r="AD19" i="1"/>
  <c r="BS19" i="1"/>
  <c r="BT19" i="1"/>
  <c r="AD20" i="1"/>
  <c r="BS20" i="1"/>
  <c r="BT20" i="1"/>
  <c r="AD21" i="1"/>
  <c r="BS21" i="1"/>
  <c r="BT21" i="1"/>
  <c r="AD23" i="1"/>
  <c r="BS23" i="1"/>
  <c r="BT23" i="1"/>
  <c r="AD26" i="1"/>
  <c r="BS26" i="1"/>
  <c r="BT26" i="1"/>
  <c r="AD27" i="1"/>
  <c r="BS27" i="1"/>
  <c r="BT27" i="1"/>
  <c r="AD28" i="1"/>
  <c r="BS28" i="1"/>
  <c r="BT28" i="1"/>
  <c r="AD29" i="1"/>
  <c r="BS29" i="1"/>
  <c r="BT29" i="1"/>
  <c r="AD30" i="1"/>
  <c r="BS30" i="1"/>
  <c r="BT30" i="1"/>
  <c r="AD31" i="1"/>
  <c r="BS31" i="1"/>
  <c r="BT31" i="1"/>
  <c r="AD32" i="1"/>
  <c r="BS32" i="1"/>
  <c r="BT32" i="1"/>
  <c r="AD33" i="1"/>
  <c r="BS33" i="1"/>
  <c r="BT33" i="1"/>
  <c r="AD34" i="1"/>
  <c r="BS34" i="1"/>
  <c r="BT34" i="1"/>
  <c r="AD35" i="1"/>
  <c r="BS35" i="1"/>
  <c r="BT35" i="1"/>
  <c r="AD36" i="1"/>
  <c r="BS36" i="1"/>
  <c r="BT36" i="1"/>
  <c r="AD37" i="1"/>
  <c r="BS37" i="1"/>
  <c r="BT37" i="1"/>
  <c r="AD38" i="1"/>
  <c r="BS38" i="1"/>
  <c r="BT38" i="1"/>
  <c r="AD39" i="1"/>
  <c r="BS39" i="1"/>
  <c r="BT39" i="1"/>
  <c r="AD40" i="1"/>
  <c r="BS40" i="1"/>
  <c r="BT40" i="1"/>
  <c r="AD41" i="1"/>
  <c r="BS41" i="1"/>
  <c r="BT41" i="1"/>
  <c r="AD42" i="1"/>
  <c r="BS42" i="1"/>
  <c r="BT42" i="1"/>
  <c r="AD43" i="1"/>
  <c r="BS43" i="1"/>
  <c r="BT43" i="1"/>
  <c r="AD44" i="1"/>
  <c r="BS44" i="1"/>
  <c r="BT44" i="1"/>
  <c r="AD46" i="1"/>
  <c r="BS46" i="1"/>
  <c r="BT46" i="1"/>
  <c r="AD48" i="1"/>
  <c r="BS48" i="1"/>
  <c r="BT48" i="1"/>
  <c r="AD49" i="1"/>
  <c r="BS49" i="1"/>
  <c r="BT49" i="1"/>
  <c r="AD51" i="1"/>
  <c r="BS51" i="1"/>
  <c r="BT51" i="1"/>
  <c r="AD52" i="1"/>
  <c r="BS52" i="1"/>
  <c r="BT52" i="1"/>
  <c r="AD53" i="1"/>
  <c r="BS53" i="1"/>
  <c r="BT53" i="1"/>
  <c r="AD54" i="1"/>
  <c r="BS54" i="1"/>
  <c r="BT54" i="1"/>
  <c r="AD55" i="1"/>
  <c r="BS55" i="1"/>
  <c r="BT55" i="1"/>
  <c r="AD57" i="1"/>
  <c r="BS57" i="1"/>
  <c r="BT57" i="1"/>
  <c r="AD58" i="1"/>
  <c r="BS58" i="1"/>
  <c r="BT58" i="1"/>
  <c r="AD60" i="1"/>
  <c r="BS60" i="1"/>
  <c r="BT60" i="1"/>
  <c r="AD61" i="1"/>
  <c r="BS61" i="1"/>
  <c r="BT61" i="1"/>
  <c r="AD63" i="1"/>
  <c r="BS63" i="1"/>
  <c r="BT63" i="1"/>
  <c r="AD64" i="1"/>
  <c r="BS64" i="1"/>
  <c r="BT64" i="1"/>
  <c r="AD65" i="1"/>
  <c r="BS65" i="1"/>
  <c r="BT65" i="1"/>
  <c r="AD66" i="1"/>
  <c r="BS66" i="1"/>
  <c r="BT66" i="1"/>
  <c r="AD67" i="1"/>
  <c r="BS67" i="1"/>
  <c r="BT67" i="1"/>
  <c r="AD69" i="1"/>
  <c r="BS69" i="1"/>
  <c r="BT69" i="1"/>
  <c r="AD72" i="1"/>
  <c r="BS72" i="1"/>
  <c r="BT72" i="1"/>
  <c r="BS73" i="1"/>
  <c r="BT73" i="1"/>
  <c r="AD74" i="1"/>
  <c r="BS74" i="1"/>
  <c r="BT74" i="1"/>
  <c r="AD75" i="1"/>
  <c r="BS75" i="1"/>
  <c r="BT75" i="1"/>
  <c r="AD77" i="1"/>
  <c r="BS77" i="1"/>
  <c r="BT77" i="1"/>
  <c r="AD78" i="1"/>
  <c r="BS78" i="1"/>
  <c r="BT78" i="1"/>
  <c r="AD79" i="1"/>
  <c r="BS79" i="1"/>
  <c r="BT79" i="1"/>
  <c r="AD80" i="1"/>
  <c r="BS80" i="1"/>
  <c r="BT80" i="1"/>
  <c r="AD82" i="1"/>
  <c r="BS82" i="1"/>
  <c r="BT82" i="1"/>
  <c r="AD84" i="1"/>
  <c r="BS84" i="1"/>
  <c r="BT84" i="1"/>
  <c r="AD85" i="1"/>
  <c r="BS85" i="1"/>
  <c r="BT85" i="1"/>
  <c r="AD86" i="1"/>
  <c r="BS86" i="1"/>
  <c r="BT86" i="1"/>
  <c r="AD88" i="1"/>
  <c r="BS88" i="1"/>
  <c r="BT88" i="1"/>
  <c r="AD90" i="1"/>
  <c r="BS90" i="1"/>
  <c r="BT90" i="1"/>
  <c r="AD91" i="1"/>
  <c r="BS91" i="1"/>
  <c r="BT91" i="1"/>
  <c r="AD92" i="1"/>
  <c r="BS92" i="1"/>
  <c r="BT92" i="1"/>
  <c r="AD93" i="1"/>
  <c r="BS93" i="1"/>
  <c r="BT93" i="1"/>
  <c r="AD95" i="1"/>
  <c r="BS95" i="1"/>
  <c r="BT95" i="1"/>
  <c r="AD96" i="1"/>
  <c r="BS96" i="1"/>
  <c r="BT96" i="1"/>
  <c r="AD97" i="1"/>
  <c r="BS97" i="1"/>
  <c r="BT97" i="1"/>
  <c r="AD98" i="1"/>
  <c r="BS98" i="1"/>
  <c r="BT98" i="1"/>
  <c r="AD100" i="1"/>
  <c r="BS100" i="1"/>
  <c r="BT100" i="1"/>
  <c r="AD102" i="1"/>
  <c r="BS102" i="1"/>
  <c r="BT102" i="1"/>
  <c r="BS104" i="1"/>
  <c r="BT104" i="1"/>
  <c r="AD105" i="1"/>
  <c r="BS105" i="1"/>
  <c r="BT105" i="1"/>
  <c r="AD106" i="1"/>
  <c r="BS106" i="1"/>
  <c r="BT106" i="1"/>
  <c r="AD109" i="1"/>
  <c r="BS109" i="1"/>
  <c r="BT109" i="1"/>
  <c r="AD114" i="1"/>
  <c r="BS114" i="1"/>
  <c r="BT114" i="1"/>
  <c r="AD116" i="1"/>
  <c r="BS116" i="1"/>
  <c r="BT116" i="1"/>
  <c r="AD118" i="1"/>
  <c r="BS118" i="1"/>
  <c r="BT118" i="1"/>
  <c r="AD119" i="1"/>
  <c r="BS119" i="1"/>
  <c r="BT119" i="1"/>
  <c r="AD120" i="1"/>
  <c r="BS120" i="1"/>
  <c r="BT120" i="1"/>
  <c r="AD122" i="1"/>
  <c r="BS122" i="1"/>
  <c r="BT122" i="1"/>
  <c r="AD123" i="1"/>
  <c r="BS123" i="1"/>
  <c r="BT123" i="1"/>
  <c r="AD124" i="1"/>
  <c r="BS124" i="1"/>
  <c r="BT124" i="1"/>
  <c r="AD125" i="1"/>
  <c r="BS125" i="1"/>
  <c r="BT125" i="1"/>
  <c r="AD127" i="1"/>
  <c r="BS127" i="1"/>
  <c r="BT127" i="1"/>
  <c r="AD129" i="1"/>
  <c r="BS129" i="1"/>
  <c r="BT129" i="1"/>
  <c r="AD130" i="1"/>
  <c r="BS130" i="1"/>
  <c r="BT130" i="1"/>
  <c r="AD132" i="1"/>
  <c r="BS132" i="1"/>
  <c r="BT132" i="1"/>
  <c r="AD134" i="1"/>
  <c r="BS134" i="1"/>
  <c r="BT134" i="1"/>
  <c r="AD135" i="1"/>
  <c r="BS135" i="1"/>
  <c r="BT135" i="1"/>
  <c r="AD137" i="1"/>
  <c r="BS137" i="1"/>
  <c r="BT137" i="1"/>
  <c r="AD138" i="1"/>
  <c r="BS138" i="1"/>
  <c r="BT138" i="1"/>
  <c r="AD142" i="1"/>
  <c r="BS142" i="1"/>
  <c r="BT142" i="1"/>
  <c r="AD143" i="1"/>
  <c r="BS143" i="1"/>
  <c r="BT143" i="1"/>
  <c r="AD144" i="1"/>
  <c r="BS144" i="1"/>
  <c r="BT144" i="1"/>
  <c r="AD145" i="1"/>
  <c r="BS145" i="1"/>
  <c r="BT145" i="1"/>
  <c r="AD146" i="1"/>
  <c r="BS146" i="1"/>
  <c r="BT146" i="1"/>
  <c r="AD147" i="1"/>
  <c r="BS147" i="1"/>
  <c r="BT147" i="1"/>
  <c r="AD148" i="1"/>
  <c r="BS148" i="1"/>
  <c r="BT148" i="1"/>
  <c r="AD149" i="1"/>
  <c r="BS149" i="1"/>
  <c r="BT149" i="1"/>
  <c r="AD151" i="1"/>
  <c r="BS151" i="1"/>
  <c r="BT151" i="1"/>
  <c r="AD152" i="1"/>
  <c r="BS152" i="1"/>
  <c r="BT152" i="1"/>
  <c r="AD153" i="1"/>
  <c r="BS153" i="1"/>
  <c r="BT153" i="1"/>
  <c r="AD154" i="1"/>
  <c r="BS154" i="1"/>
  <c r="BT154" i="1"/>
  <c r="AD155" i="1"/>
  <c r="BS155" i="1"/>
  <c r="BT155" i="1"/>
  <c r="AD156" i="1"/>
  <c r="BS156" i="1"/>
  <c r="BT156" i="1"/>
  <c r="AD159" i="1"/>
  <c r="BS159" i="1"/>
  <c r="BT159" i="1"/>
  <c r="AD160" i="1"/>
  <c r="BS160" i="1"/>
  <c r="BT160" i="1"/>
  <c r="AD162" i="1"/>
  <c r="BS162" i="1"/>
  <c r="BT162" i="1"/>
  <c r="AD163" i="1"/>
  <c r="BS163" i="1"/>
  <c r="BT163" i="1"/>
  <c r="AD164" i="1"/>
  <c r="BS164" i="1"/>
  <c r="BT164" i="1"/>
  <c r="AD165" i="1"/>
  <c r="BS165" i="1"/>
  <c r="BT165" i="1"/>
  <c r="AD166" i="1"/>
  <c r="BS166" i="1"/>
  <c r="BT166" i="1"/>
  <c r="BS167" i="1"/>
  <c r="BT167" i="1"/>
  <c r="AD168" i="1"/>
  <c r="BS168" i="1"/>
  <c r="BT168" i="1"/>
  <c r="AD169" i="1"/>
  <c r="BS169" i="1"/>
  <c r="BT169" i="1"/>
  <c r="AD170" i="1"/>
  <c r="BS170" i="1"/>
  <c r="BT170" i="1"/>
  <c r="BS171" i="1"/>
  <c r="BT171" i="1"/>
  <c r="AD172" i="1"/>
  <c r="BS172" i="1"/>
  <c r="BT172" i="1"/>
  <c r="AD173" i="1"/>
  <c r="BS173" i="1"/>
  <c r="BT173" i="1"/>
  <c r="BS174" i="1"/>
  <c r="BT174" i="1"/>
  <c r="AD175" i="1"/>
  <c r="BS175" i="1"/>
  <c r="BT175" i="1"/>
  <c r="AD176" i="1"/>
  <c r="BS176" i="1"/>
  <c r="BT176" i="1"/>
  <c r="AD177" i="1"/>
  <c r="BS177" i="1"/>
  <c r="BT177" i="1"/>
  <c r="BS178" i="1"/>
  <c r="BT178" i="1"/>
  <c r="AD180" i="1"/>
  <c r="BS180" i="1"/>
  <c r="BT180" i="1"/>
  <c r="AD181" i="1"/>
  <c r="BS181" i="1"/>
  <c r="BT181" i="1"/>
  <c r="AD183" i="1"/>
  <c r="BS183" i="1"/>
  <c r="BT183" i="1"/>
  <c r="AD3" i="1"/>
  <c r="BS3" i="1"/>
  <c r="BT3" i="1"/>
  <c r="BW3" i="1"/>
  <c r="AD25" i="1"/>
  <c r="AD70" i="1"/>
  <c r="AD113" i="1"/>
  <c r="AD121" i="1"/>
  <c r="AD150" i="1"/>
  <c r="T3" i="1"/>
  <c r="BW5" i="1"/>
  <c r="BX5" i="1"/>
  <c r="BW7" i="1"/>
  <c r="BX7" i="1"/>
  <c r="BW9" i="1"/>
  <c r="BX9" i="1"/>
  <c r="BW11" i="1"/>
  <c r="BX11" i="1"/>
  <c r="BW13" i="1"/>
  <c r="BX13" i="1"/>
  <c r="BW15" i="1"/>
  <c r="BX15" i="1"/>
  <c r="BW17" i="1"/>
  <c r="BX17" i="1"/>
  <c r="BW18" i="1"/>
  <c r="BX18" i="1"/>
  <c r="BW19" i="1"/>
  <c r="BX19" i="1"/>
  <c r="BW20" i="1"/>
  <c r="BX20" i="1"/>
  <c r="BW21" i="1"/>
  <c r="BX21" i="1"/>
  <c r="BW23" i="1"/>
  <c r="BX23" i="1"/>
  <c r="BW26" i="1"/>
  <c r="BX26" i="1"/>
  <c r="BW27" i="1"/>
  <c r="BX27" i="1"/>
  <c r="BX28" i="1"/>
  <c r="BW29" i="1"/>
  <c r="BX29" i="1"/>
  <c r="BW30" i="1"/>
  <c r="BX30" i="1"/>
  <c r="BW31" i="1"/>
  <c r="BX31" i="1"/>
  <c r="BX32" i="1"/>
  <c r="BW33" i="1"/>
  <c r="BX33" i="1"/>
  <c r="BW34" i="1"/>
  <c r="BX34" i="1"/>
  <c r="BW35" i="1"/>
  <c r="BX35" i="1"/>
  <c r="BW36" i="1"/>
  <c r="BX36" i="1"/>
  <c r="BW37" i="1"/>
  <c r="BX37" i="1"/>
  <c r="BW38" i="1"/>
  <c r="BX38" i="1"/>
  <c r="BX39" i="1"/>
  <c r="BW40" i="1"/>
  <c r="BX40" i="1"/>
  <c r="BW41" i="1"/>
  <c r="BX41" i="1"/>
  <c r="BW42" i="1"/>
  <c r="BX42" i="1"/>
  <c r="BW43" i="1"/>
  <c r="BX43" i="1"/>
  <c r="BW44" i="1"/>
  <c r="BX44" i="1"/>
  <c r="BW46" i="1"/>
  <c r="BX46" i="1"/>
  <c r="BW48" i="1"/>
  <c r="BX48" i="1"/>
  <c r="BW49" i="1"/>
  <c r="BX49" i="1"/>
  <c r="BW51" i="1"/>
  <c r="BX51" i="1"/>
  <c r="BW52" i="1"/>
  <c r="BX52" i="1"/>
  <c r="BW53" i="1"/>
  <c r="BX53" i="1"/>
  <c r="BX54" i="1"/>
  <c r="BW55" i="1"/>
  <c r="BX55" i="1"/>
  <c r="BW57" i="1"/>
  <c r="BX57" i="1"/>
  <c r="BW58" i="1"/>
  <c r="BX58" i="1"/>
  <c r="BW60" i="1"/>
  <c r="BX60" i="1"/>
  <c r="BW61" i="1"/>
  <c r="BX61" i="1"/>
  <c r="BX63" i="1"/>
  <c r="BW64" i="1"/>
  <c r="BX64" i="1"/>
  <c r="BW65" i="1"/>
  <c r="BX65" i="1"/>
  <c r="BW66" i="1"/>
  <c r="BX66" i="1"/>
  <c r="BW67" i="1"/>
  <c r="BX67" i="1"/>
  <c r="BW69" i="1"/>
  <c r="BX69" i="1"/>
  <c r="BW72" i="1"/>
  <c r="BX72" i="1"/>
  <c r="BX73" i="1"/>
  <c r="BW74" i="1"/>
  <c r="BX74" i="1"/>
  <c r="BW75" i="1"/>
  <c r="BX75" i="1"/>
  <c r="BW77" i="1"/>
  <c r="BX77" i="1"/>
  <c r="BW78" i="1"/>
  <c r="BX78" i="1"/>
  <c r="BW79" i="1"/>
  <c r="BX79" i="1"/>
  <c r="BW80" i="1"/>
  <c r="BX80" i="1"/>
  <c r="BX81" i="1"/>
  <c r="BW82" i="1"/>
  <c r="BX82" i="1"/>
  <c r="BX83" i="1"/>
  <c r="BW84" i="1"/>
  <c r="BX84" i="1"/>
  <c r="BW85" i="1"/>
  <c r="BX85" i="1"/>
  <c r="BW86" i="1"/>
  <c r="BX86" i="1"/>
  <c r="BX87" i="1"/>
  <c r="BW88" i="1"/>
  <c r="BX88" i="1"/>
  <c r="BW90" i="1"/>
  <c r="BX90" i="1"/>
  <c r="BW91" i="1"/>
  <c r="BX91" i="1"/>
  <c r="BX92" i="1"/>
  <c r="BW93" i="1"/>
  <c r="BX93" i="1"/>
  <c r="BW95" i="1"/>
  <c r="BX95" i="1"/>
  <c r="BW96" i="1"/>
  <c r="BX96" i="1"/>
  <c r="BW97" i="1"/>
  <c r="BX97" i="1"/>
  <c r="BW98" i="1"/>
  <c r="BX98" i="1"/>
  <c r="BW100" i="1"/>
  <c r="BX100" i="1"/>
  <c r="BX101" i="1"/>
  <c r="BW102" i="1"/>
  <c r="BX102" i="1"/>
  <c r="BW104" i="1"/>
  <c r="BX104" i="1"/>
  <c r="BW105" i="1"/>
  <c r="BX105" i="1"/>
  <c r="BW106" i="1"/>
  <c r="BX106" i="1"/>
  <c r="BW109" i="1"/>
  <c r="BX109" i="1"/>
  <c r="BW114" i="1"/>
  <c r="BX114" i="1"/>
  <c r="BW116" i="1"/>
  <c r="BX116" i="1"/>
  <c r="BW118" i="1"/>
  <c r="BX118" i="1"/>
  <c r="BW119" i="1"/>
  <c r="BX119" i="1"/>
  <c r="BW120" i="1"/>
  <c r="BX120" i="1"/>
  <c r="BW122" i="1"/>
  <c r="BX122" i="1"/>
  <c r="BW123" i="1"/>
  <c r="BX123" i="1"/>
  <c r="BW124" i="1"/>
  <c r="BX124" i="1"/>
  <c r="BW125" i="1"/>
  <c r="BX125" i="1"/>
  <c r="BW127" i="1"/>
  <c r="BX127" i="1"/>
  <c r="BW129" i="1"/>
  <c r="BX129" i="1"/>
  <c r="BW130" i="1"/>
  <c r="BX130" i="1"/>
  <c r="BW132" i="1"/>
  <c r="BX132" i="1"/>
  <c r="BW134" i="1"/>
  <c r="BX134" i="1"/>
  <c r="BW135" i="1"/>
  <c r="BX135" i="1"/>
  <c r="BW137" i="1"/>
  <c r="BX137" i="1"/>
  <c r="BW138" i="1"/>
  <c r="BX138" i="1"/>
  <c r="BW142" i="1"/>
  <c r="BX142" i="1"/>
  <c r="BW143" i="1"/>
  <c r="BX143" i="1"/>
  <c r="BW144" i="1"/>
  <c r="BX144" i="1"/>
  <c r="BW145" i="1"/>
  <c r="BX145" i="1"/>
  <c r="BW146" i="1"/>
  <c r="BX146" i="1"/>
  <c r="BW147" i="1"/>
  <c r="BX147" i="1"/>
  <c r="BW148" i="1"/>
  <c r="BX148" i="1"/>
  <c r="BX149" i="1"/>
  <c r="BW151" i="1"/>
  <c r="BX151" i="1"/>
  <c r="BX152" i="1"/>
  <c r="BW153" i="1"/>
  <c r="BX153" i="1"/>
  <c r="BW154" i="1"/>
  <c r="BX154" i="1"/>
  <c r="BW155" i="1"/>
  <c r="BX155" i="1"/>
  <c r="BX156" i="1"/>
  <c r="BW159" i="1"/>
  <c r="BX159" i="1"/>
  <c r="BW160" i="1"/>
  <c r="BX160" i="1"/>
  <c r="BW162" i="1"/>
  <c r="BX162" i="1"/>
  <c r="BX163" i="1"/>
  <c r="BX164" i="1"/>
  <c r="BW165" i="1"/>
  <c r="BX165" i="1"/>
  <c r="BW166" i="1"/>
  <c r="BX166" i="1"/>
  <c r="BX167" i="1"/>
  <c r="BW168" i="1"/>
  <c r="BX168" i="1"/>
  <c r="BW169" i="1"/>
  <c r="BX169" i="1"/>
  <c r="BW170" i="1"/>
  <c r="BX170" i="1"/>
  <c r="BW171" i="1"/>
  <c r="BX171" i="1"/>
  <c r="BW172" i="1"/>
  <c r="BX172" i="1"/>
  <c r="BW173" i="1"/>
  <c r="BX173" i="1"/>
  <c r="BW174" i="1"/>
  <c r="BX174" i="1"/>
  <c r="BW175" i="1"/>
  <c r="BX175" i="1"/>
  <c r="BW176" i="1"/>
  <c r="BX176" i="1"/>
  <c r="BW177" i="1"/>
  <c r="BX177" i="1"/>
  <c r="BW178" i="1"/>
  <c r="BX178" i="1"/>
  <c r="BX179" i="1"/>
  <c r="BW180" i="1"/>
  <c r="BX180" i="1"/>
  <c r="BW181" i="1"/>
  <c r="BX181" i="1"/>
  <c r="BX182" i="1"/>
  <c r="BW183" i="1"/>
  <c r="BX183" i="1"/>
  <c r="BW4" i="1"/>
  <c r="BX4" i="1"/>
  <c r="BX3" i="1"/>
  <c r="Q158" i="12"/>
  <c r="Q157" i="12"/>
  <c r="Q139" i="12"/>
  <c r="Q103" i="12"/>
  <c r="Q93" i="12"/>
  <c r="Q65" i="12"/>
  <c r="Q62" i="12"/>
  <c r="Q60" i="12"/>
  <c r="Q58" i="12"/>
  <c r="Q57" i="12"/>
  <c r="Q53" i="12"/>
  <c r="Q33" i="12"/>
  <c r="Q19" i="12"/>
  <c r="Q7" i="12"/>
  <c r="AD182" i="12"/>
  <c r="AB182" i="12"/>
  <c r="AD181" i="12"/>
  <c r="AB181" i="12"/>
  <c r="AD177" i="12"/>
  <c r="AB177" i="12"/>
  <c r="AD174" i="12"/>
  <c r="AB174" i="12"/>
  <c r="AD173" i="12"/>
  <c r="AB173" i="12"/>
  <c r="AB172" i="12"/>
  <c r="AB169" i="12"/>
  <c r="AD168" i="12"/>
  <c r="AB168" i="12"/>
  <c r="AD166" i="12"/>
  <c r="AB166" i="12"/>
  <c r="AB165" i="12"/>
  <c r="AB164" i="12"/>
  <c r="AD163" i="12"/>
  <c r="AB163" i="12"/>
  <c r="AD162" i="12"/>
  <c r="AB162" i="12"/>
  <c r="AB161" i="12"/>
  <c r="AD160" i="12"/>
  <c r="AB160" i="12"/>
  <c r="AD159" i="12"/>
  <c r="AB159" i="12"/>
  <c r="AD158" i="12"/>
  <c r="AB158" i="12"/>
  <c r="AB157" i="12"/>
  <c r="AD155" i="12"/>
  <c r="AB155" i="12"/>
  <c r="AD154" i="12"/>
  <c r="AB154" i="12"/>
  <c r="AD151" i="12"/>
  <c r="AB151" i="12"/>
  <c r="AB147" i="12"/>
  <c r="AD144" i="12"/>
  <c r="AB144" i="12"/>
  <c r="AD143" i="12"/>
  <c r="AB143" i="12"/>
  <c r="AD140" i="12"/>
  <c r="AB140" i="12"/>
  <c r="AD139" i="12"/>
  <c r="AB139" i="12"/>
  <c r="AD138" i="12"/>
  <c r="AB138" i="12"/>
  <c r="AD137" i="12"/>
  <c r="AB137" i="12"/>
  <c r="AD136" i="12"/>
  <c r="AB136" i="12"/>
  <c r="AD135" i="12"/>
  <c r="AB135" i="12"/>
  <c r="AD134" i="12"/>
  <c r="AB134" i="12"/>
  <c r="AD133" i="12"/>
  <c r="AB133" i="12"/>
  <c r="AD132" i="12"/>
  <c r="AB132" i="12"/>
  <c r="AB130" i="12"/>
  <c r="AD129" i="12"/>
  <c r="AB129" i="12"/>
  <c r="AD117" i="12"/>
  <c r="AB117" i="12"/>
  <c r="AD116" i="12"/>
  <c r="AB116" i="12"/>
  <c r="AD112" i="12"/>
  <c r="AB112" i="12"/>
  <c r="AD108" i="12"/>
  <c r="AB108" i="12"/>
  <c r="AD106" i="12"/>
  <c r="AB106" i="12"/>
  <c r="AD104" i="12"/>
  <c r="AB104" i="12"/>
  <c r="AD103" i="12"/>
  <c r="AB103" i="12"/>
  <c r="AD102" i="12"/>
  <c r="AB102" i="12"/>
  <c r="AD100" i="12"/>
  <c r="AB100" i="12"/>
  <c r="AD99" i="12"/>
  <c r="AB99" i="12"/>
  <c r="AD95" i="12"/>
  <c r="AB95" i="12"/>
  <c r="AD93" i="12"/>
  <c r="AB93" i="12"/>
  <c r="AD92" i="12"/>
  <c r="AB92" i="12"/>
  <c r="AD91" i="12"/>
  <c r="AB91" i="12"/>
  <c r="AD89" i="12"/>
  <c r="AB89" i="12"/>
  <c r="AD87" i="12"/>
  <c r="AB87" i="12"/>
  <c r="AD86" i="12"/>
  <c r="AB86" i="12"/>
  <c r="AD84" i="12"/>
  <c r="AB84" i="12"/>
  <c r="AD83" i="12"/>
  <c r="AB83" i="12"/>
  <c r="AD82" i="12"/>
  <c r="AB82" i="12"/>
  <c r="AD81" i="12"/>
  <c r="AB81" i="12"/>
  <c r="AD80" i="12"/>
  <c r="AB80" i="12"/>
  <c r="AD78" i="12"/>
  <c r="AB78" i="12"/>
  <c r="AD77" i="12"/>
  <c r="AB77" i="12"/>
  <c r="AD76" i="12"/>
  <c r="AB76" i="12"/>
  <c r="AD65" i="12"/>
  <c r="AB65" i="12"/>
  <c r="AB63" i="12"/>
  <c r="AD62" i="12"/>
  <c r="AB62" i="12"/>
  <c r="AD60" i="12"/>
  <c r="AB60" i="12"/>
  <c r="AD58" i="12"/>
  <c r="AB58" i="12"/>
  <c r="AD57" i="12"/>
  <c r="AB57" i="12"/>
  <c r="AB56" i="12"/>
  <c r="AD55" i="12"/>
  <c r="AB55" i="12"/>
  <c r="AD53" i="12"/>
  <c r="AB53" i="12"/>
  <c r="AD52" i="12"/>
  <c r="AB52" i="12"/>
  <c r="AB50" i="12"/>
  <c r="AB49" i="12"/>
  <c r="AB48" i="12"/>
  <c r="AD45" i="12"/>
  <c r="AB45" i="12"/>
  <c r="AD41" i="12"/>
  <c r="AB41" i="12"/>
  <c r="AD40" i="12"/>
  <c r="AB40" i="12"/>
  <c r="AD39" i="12"/>
  <c r="AB39" i="12"/>
  <c r="AD38" i="12"/>
  <c r="AB38" i="12"/>
  <c r="AD36" i="12"/>
  <c r="AB36" i="12"/>
  <c r="AD35" i="12"/>
  <c r="AB35" i="12"/>
  <c r="AD34" i="12"/>
  <c r="AB34" i="12"/>
  <c r="AD33" i="12"/>
  <c r="AB33" i="12"/>
  <c r="AD32" i="12"/>
  <c r="AB32" i="12"/>
  <c r="AB31" i="12"/>
  <c r="AD29" i="12"/>
  <c r="AB29" i="12"/>
  <c r="AD28" i="12"/>
  <c r="AB28" i="12"/>
  <c r="AB27" i="12"/>
  <c r="AB23" i="12"/>
  <c r="AD21" i="12"/>
  <c r="AB21" i="12"/>
  <c r="AD20" i="12"/>
  <c r="AB20" i="12"/>
  <c r="AD19" i="12"/>
  <c r="AB19" i="12"/>
  <c r="AD18" i="12"/>
  <c r="AB18" i="12"/>
  <c r="AB15" i="12"/>
  <c r="AD13" i="12"/>
  <c r="AB13" i="12"/>
  <c r="AD11" i="12"/>
  <c r="AB11" i="12"/>
  <c r="AB10" i="12"/>
  <c r="AD8" i="12"/>
  <c r="AB8" i="12"/>
  <c r="AD7" i="12"/>
  <c r="AB7" i="12"/>
  <c r="AD4" i="12"/>
  <c r="AB4" i="12"/>
  <c r="AD3" i="12"/>
  <c r="AB3" i="12"/>
  <c r="O183" i="12"/>
  <c r="Q182" i="12"/>
  <c r="O182" i="12"/>
  <c r="Q181" i="12"/>
  <c r="O181" i="12"/>
  <c r="O180" i="12"/>
  <c r="O179" i="12"/>
  <c r="O178" i="12"/>
  <c r="Q177" i="12"/>
  <c r="O177" i="12"/>
  <c r="O176" i="12"/>
  <c r="O175" i="12"/>
  <c r="Q174" i="12"/>
  <c r="O174" i="12"/>
  <c r="Q173" i="12"/>
  <c r="O173" i="12"/>
  <c r="O172" i="12"/>
  <c r="O171" i="12"/>
  <c r="O170" i="12"/>
  <c r="O169" i="12"/>
  <c r="Q168" i="12"/>
  <c r="O168" i="12"/>
  <c r="O167" i="12"/>
  <c r="Q166" i="12"/>
  <c r="O166" i="12"/>
  <c r="O165" i="12"/>
  <c r="O164" i="12"/>
  <c r="Q163" i="12"/>
  <c r="O163" i="12"/>
  <c r="Q162" i="12"/>
  <c r="O162" i="12"/>
  <c r="O161" i="12"/>
  <c r="Q160" i="12"/>
  <c r="O160" i="12"/>
  <c r="Q159" i="12"/>
  <c r="O159" i="12"/>
  <c r="O158" i="12"/>
  <c r="O157" i="12"/>
  <c r="O156" i="12"/>
  <c r="Q155" i="12"/>
  <c r="O155" i="12"/>
  <c r="Q154" i="12"/>
  <c r="O154" i="12"/>
  <c r="O153" i="12"/>
  <c r="O152" i="12"/>
  <c r="Q151" i="12"/>
  <c r="O151" i="12"/>
  <c r="O150" i="12"/>
  <c r="O149" i="12"/>
  <c r="O147" i="12"/>
  <c r="O146" i="12"/>
  <c r="O145" i="12"/>
  <c r="Q144" i="12"/>
  <c r="O144" i="12"/>
  <c r="Q143" i="12"/>
  <c r="O142" i="12"/>
  <c r="Q140" i="12"/>
  <c r="O140" i="12"/>
  <c r="O139" i="12"/>
  <c r="Q138" i="12"/>
  <c r="O138" i="12"/>
  <c r="Q137" i="12"/>
  <c r="Q136" i="12"/>
  <c r="O136" i="12"/>
  <c r="Q135" i="12"/>
  <c r="O135" i="12"/>
  <c r="Q134" i="12"/>
  <c r="O134" i="12"/>
  <c r="Q133" i="12"/>
  <c r="O133" i="12"/>
  <c r="Q132" i="12"/>
  <c r="O132" i="12"/>
  <c r="O131" i="12"/>
  <c r="O130" i="12"/>
  <c r="Q129" i="12"/>
  <c r="O128" i="12"/>
  <c r="Q117" i="12"/>
  <c r="O117" i="12"/>
  <c r="Q116" i="12"/>
  <c r="O116" i="12"/>
  <c r="Q112" i="12"/>
  <c r="O112" i="12"/>
  <c r="O111" i="12"/>
  <c r="Q108" i="12"/>
  <c r="O108" i="12"/>
  <c r="O107" i="12"/>
  <c r="Q106" i="12"/>
  <c r="O106" i="12"/>
  <c r="Q104" i="12"/>
  <c r="O104" i="12"/>
  <c r="O103" i="12"/>
  <c r="Q102" i="12"/>
  <c r="O102" i="12"/>
  <c r="O101" i="12"/>
  <c r="Q100" i="12"/>
  <c r="O100" i="12"/>
  <c r="Q99" i="12"/>
  <c r="O99" i="12"/>
  <c r="Q95" i="12"/>
  <c r="O95" i="12"/>
  <c r="O93" i="12"/>
  <c r="Q92" i="12"/>
  <c r="O92" i="12"/>
  <c r="Q91" i="12"/>
  <c r="O91" i="12"/>
  <c r="Q89" i="12"/>
  <c r="O89" i="12"/>
  <c r="O88" i="12"/>
  <c r="Q87" i="12"/>
  <c r="O87" i="12"/>
  <c r="Q86" i="12"/>
  <c r="O86" i="12"/>
  <c r="O85" i="12"/>
  <c r="Q84" i="12"/>
  <c r="O84" i="12"/>
  <c r="Q83" i="12"/>
  <c r="O83" i="12"/>
  <c r="Q82" i="12"/>
  <c r="O82" i="12"/>
  <c r="Q81" i="12"/>
  <c r="O81" i="12"/>
  <c r="Q80" i="12"/>
  <c r="O80" i="12"/>
  <c r="Q78" i="12"/>
  <c r="O78" i="12"/>
  <c r="Q77" i="12"/>
  <c r="O77" i="12"/>
  <c r="Q76" i="12"/>
  <c r="O76" i="12"/>
  <c r="O65" i="12"/>
  <c r="O63" i="12"/>
  <c r="O62" i="12"/>
  <c r="O61" i="12"/>
  <c r="O60" i="12"/>
  <c r="O58" i="12"/>
  <c r="O57" i="12"/>
  <c r="Q55" i="12"/>
  <c r="O55" i="12"/>
  <c r="O53" i="12"/>
  <c r="Q52" i="12"/>
  <c r="O52" i="12"/>
  <c r="O50" i="12"/>
  <c r="O49" i="12"/>
  <c r="O48" i="12"/>
  <c r="O47" i="12"/>
  <c r="Q45" i="12"/>
  <c r="O45" i="12"/>
  <c r="Q41" i="12"/>
  <c r="O41" i="12"/>
  <c r="Q40" i="12"/>
  <c r="O40" i="12"/>
  <c r="Q39" i="12"/>
  <c r="O39" i="12"/>
  <c r="Q38" i="12"/>
  <c r="O38" i="12"/>
  <c r="O37" i="12"/>
  <c r="Q36" i="12"/>
  <c r="O36" i="12"/>
  <c r="Q35" i="12"/>
  <c r="O35" i="12"/>
  <c r="Q34" i="12"/>
  <c r="O34" i="12"/>
  <c r="O33" i="12"/>
  <c r="Q32" i="12"/>
  <c r="O31" i="12"/>
  <c r="Q29" i="12"/>
  <c r="O29" i="12"/>
  <c r="Q28" i="12"/>
  <c r="O28" i="12"/>
  <c r="O27" i="12"/>
  <c r="O22" i="12"/>
  <c r="Q21" i="12"/>
  <c r="O21" i="12"/>
  <c r="Q20" i="12"/>
  <c r="O20" i="12"/>
  <c r="O19" i="12"/>
  <c r="Q18" i="12"/>
  <c r="O18" i="12"/>
  <c r="O16" i="12"/>
  <c r="O15" i="12"/>
  <c r="O14" i="12"/>
  <c r="Q13" i="12"/>
  <c r="O13" i="12"/>
  <c r="O12" i="12"/>
  <c r="Q11" i="12"/>
  <c r="O11" i="12"/>
  <c r="O9" i="12"/>
  <c r="Q8" i="12"/>
  <c r="O7" i="12"/>
  <c r="Q4" i="12"/>
  <c r="O4" i="12"/>
  <c r="Q3" i="12"/>
  <c r="O3" i="12"/>
  <c r="O2" i="12"/>
  <c r="S132" i="1"/>
  <c r="S122" i="1"/>
  <c r="S79" i="1"/>
  <c r="S53" i="1"/>
  <c r="S144" i="1"/>
  <c r="S4" i="1"/>
  <c r="S159" i="1"/>
  <c r="S176" i="1"/>
  <c r="S43" i="1"/>
  <c r="S11" i="1"/>
  <c r="S125" i="1"/>
  <c r="S63" i="1"/>
  <c r="S60" i="1"/>
  <c r="S160" i="1"/>
  <c r="S48" i="1"/>
  <c r="S97" i="1"/>
  <c r="S44" i="1"/>
  <c r="S88" i="1"/>
  <c r="S19" i="1"/>
  <c r="S95" i="1"/>
  <c r="S102" i="1"/>
  <c r="S181" i="1"/>
  <c r="S42" i="1"/>
  <c r="S143" i="1"/>
  <c r="S34" i="1"/>
  <c r="S67" i="1"/>
  <c r="S119" i="1"/>
  <c r="S21" i="1"/>
  <c r="S137" i="1"/>
  <c r="S36" i="1"/>
  <c r="S26" i="1"/>
  <c r="S66" i="1"/>
  <c r="S13" i="1"/>
  <c r="S5" i="1"/>
  <c r="S29" i="1"/>
  <c r="S9" i="1"/>
  <c r="S57" i="1"/>
  <c r="S58" i="1"/>
  <c r="S172" i="1"/>
  <c r="S151" i="1"/>
  <c r="S40" i="1"/>
  <c r="S152" i="1"/>
  <c r="S32" i="1"/>
  <c r="S54" i="1"/>
  <c r="S156" i="1"/>
  <c r="S164" i="1"/>
  <c r="S39" i="1"/>
  <c r="S163" i="1"/>
  <c r="S149" i="1"/>
  <c r="S92" i="1"/>
  <c r="S28" i="1"/>
  <c r="S65" i="1"/>
  <c r="S86" i="1"/>
  <c r="S146" i="1"/>
  <c r="S155" i="1"/>
  <c r="S135" i="1"/>
  <c r="S177" i="1"/>
  <c r="S98" i="1"/>
  <c r="S61" i="1"/>
  <c r="S30" i="1"/>
  <c r="S80" i="1"/>
  <c r="S180" i="1"/>
  <c r="S46" i="1"/>
  <c r="S3" i="1"/>
  <c r="S130" i="1"/>
  <c r="S51" i="1"/>
  <c r="S37" i="1"/>
  <c r="S129" i="1"/>
  <c r="S75" i="1"/>
  <c r="S27" i="1"/>
  <c r="S49" i="1"/>
  <c r="S175" i="1"/>
  <c r="S38" i="1"/>
  <c r="S77" i="1"/>
  <c r="S169" i="1"/>
  <c r="S162" i="1"/>
  <c r="S154" i="1"/>
  <c r="S153" i="1"/>
  <c r="S147" i="1"/>
  <c r="S145" i="1"/>
  <c r="S142" i="1"/>
  <c r="S127" i="1"/>
  <c r="S116" i="1"/>
  <c r="S114" i="1"/>
  <c r="S109" i="1"/>
  <c r="S106" i="1"/>
  <c r="S100" i="1"/>
  <c r="S91" i="1"/>
  <c r="S90" i="1"/>
  <c r="S84" i="1"/>
  <c r="S82" i="1"/>
  <c r="S78" i="1"/>
  <c r="S74" i="1"/>
  <c r="S52" i="1"/>
  <c r="S41" i="1"/>
  <c r="S35" i="1"/>
  <c r="S23" i="1"/>
  <c r="S20" i="1"/>
  <c r="S18" i="1"/>
  <c r="S7" i="1"/>
  <c r="G7" i="4"/>
  <c r="T183" i="1"/>
  <c r="T181" i="1"/>
  <c r="T180" i="1"/>
  <c r="T178" i="1"/>
  <c r="T177" i="1"/>
  <c r="T176" i="1"/>
  <c r="T175" i="1"/>
  <c r="T174" i="1"/>
  <c r="T173" i="1"/>
  <c r="T172" i="1"/>
  <c r="T171" i="1"/>
  <c r="T170" i="1"/>
  <c r="T169" i="1"/>
  <c r="T168" i="1"/>
  <c r="T166" i="1"/>
  <c r="T165" i="1"/>
  <c r="T164" i="1"/>
  <c r="T163" i="1"/>
  <c r="T162" i="1"/>
  <c r="T160" i="1"/>
  <c r="T159" i="1"/>
  <c r="T158" i="1"/>
  <c r="T157" i="1"/>
  <c r="T156" i="1"/>
  <c r="T155" i="1"/>
  <c r="T154" i="1"/>
  <c r="T153" i="1"/>
  <c r="T152" i="1"/>
  <c r="T151" i="1"/>
  <c r="T150" i="1"/>
  <c r="T149" i="1"/>
  <c r="T148" i="1"/>
  <c r="T147" i="1"/>
  <c r="T146" i="1"/>
  <c r="T145" i="1"/>
  <c r="T144" i="1"/>
  <c r="T143" i="1"/>
  <c r="T142" i="1"/>
  <c r="T140" i="1"/>
  <c r="T139" i="1"/>
  <c r="T138" i="1"/>
  <c r="T137" i="1"/>
  <c r="T135" i="1"/>
  <c r="T134" i="1"/>
  <c r="T132" i="1"/>
  <c r="T130" i="1"/>
  <c r="T129" i="1"/>
  <c r="T127" i="1"/>
  <c r="T125" i="1"/>
  <c r="T124" i="1"/>
  <c r="T123" i="1"/>
  <c r="T122" i="1"/>
  <c r="T121" i="1"/>
  <c r="T120" i="1"/>
  <c r="T119" i="1"/>
  <c r="T118" i="1"/>
  <c r="T117" i="1"/>
  <c r="T116" i="1"/>
  <c r="T115" i="1"/>
  <c r="T114" i="1"/>
  <c r="T113" i="1"/>
  <c r="T109" i="1"/>
  <c r="T106" i="1"/>
  <c r="T105" i="1"/>
  <c r="T103" i="1"/>
  <c r="T102" i="1"/>
  <c r="T100" i="1"/>
  <c r="T99" i="1"/>
  <c r="T98" i="1"/>
  <c r="T97" i="1"/>
  <c r="T96" i="1"/>
  <c r="T95" i="1"/>
  <c r="T93" i="1"/>
  <c r="T92" i="1"/>
  <c r="T91" i="1"/>
  <c r="T90" i="1"/>
  <c r="T89" i="1"/>
  <c r="T88" i="1"/>
  <c r="T86" i="1"/>
  <c r="T85" i="1"/>
  <c r="T84" i="1"/>
  <c r="T82" i="1"/>
  <c r="T80" i="1"/>
  <c r="T79" i="1"/>
  <c r="T78" i="1"/>
  <c r="T77" i="1"/>
  <c r="T76" i="1"/>
  <c r="T75" i="1"/>
  <c r="T74" i="1"/>
  <c r="T72" i="1"/>
  <c r="T71" i="1"/>
  <c r="T70" i="1"/>
  <c r="T69" i="1"/>
  <c r="T67" i="1"/>
  <c r="T66" i="1"/>
  <c r="T65" i="1"/>
  <c r="T64" i="1"/>
  <c r="T63" i="1"/>
  <c r="T61" i="1"/>
  <c r="T60" i="1"/>
  <c r="T58" i="1"/>
  <c r="T57" i="1"/>
  <c r="T55" i="1"/>
  <c r="T54" i="1"/>
  <c r="T53" i="1"/>
  <c r="T52" i="1"/>
  <c r="T51" i="1"/>
  <c r="T49" i="1"/>
  <c r="T48" i="1"/>
  <c r="T46" i="1"/>
  <c r="T44" i="1"/>
  <c r="T43" i="1"/>
  <c r="T42" i="1"/>
  <c r="T41" i="1"/>
  <c r="T40" i="1"/>
  <c r="T39" i="1"/>
  <c r="T38" i="1"/>
  <c r="T37" i="1"/>
  <c r="T36" i="1"/>
  <c r="T35" i="1"/>
  <c r="T34" i="1"/>
  <c r="T33" i="1"/>
  <c r="T32" i="1"/>
  <c r="T31" i="1"/>
  <c r="T30" i="1"/>
  <c r="T29" i="1"/>
  <c r="T28" i="1"/>
  <c r="T27" i="1"/>
  <c r="T26" i="1"/>
  <c r="T25" i="1"/>
  <c r="T23" i="1"/>
  <c r="T22" i="1"/>
  <c r="T21" i="1"/>
  <c r="T20" i="1"/>
  <c r="T19" i="1"/>
  <c r="T18" i="1"/>
  <c r="T17" i="1"/>
  <c r="T15" i="1"/>
  <c r="T13" i="1"/>
  <c r="T11" i="1"/>
  <c r="T10" i="1"/>
  <c r="T9" i="1"/>
  <c r="T7" i="1"/>
  <c r="T5" i="1"/>
  <c r="T4" i="1"/>
  <c r="BI153" i="1"/>
  <c r="B8" i="4"/>
  <c r="D8" i="4"/>
  <c r="E8" i="4"/>
  <c r="F8" i="4"/>
  <c r="G2" i="4"/>
  <c r="G3" i="4"/>
  <c r="G4" i="4"/>
  <c r="G5" i="4"/>
  <c r="G6" i="4"/>
  <c r="G8" i="4"/>
  <c r="H8" i="4"/>
  <c r="BI170" i="1"/>
  <c r="BI148" i="1"/>
  <c r="BI138" i="1"/>
  <c r="BI134" i="1"/>
  <c r="BI132" i="1"/>
  <c r="BI124" i="1"/>
  <c r="BI123" i="1"/>
  <c r="BI122" i="1"/>
  <c r="BI120" i="1"/>
  <c r="BI79" i="1"/>
  <c r="BI166" i="1"/>
  <c r="BI53" i="1"/>
  <c r="BI144" i="1"/>
  <c r="BI116" i="1"/>
  <c r="BI4" i="1"/>
  <c r="BI159" i="1"/>
  <c r="BI176" i="1"/>
  <c r="BI43" i="1"/>
  <c r="BI11" i="1"/>
  <c r="BI125" i="1"/>
  <c r="BI35" i="1"/>
  <c r="BI173" i="1"/>
  <c r="BI31" i="1"/>
  <c r="BI63" i="1"/>
  <c r="BI60" i="1"/>
  <c r="BI160" i="1"/>
  <c r="BI93" i="1"/>
  <c r="BI48" i="1"/>
  <c r="BI97" i="1"/>
  <c r="BI105" i="1"/>
  <c r="BI88" i="1"/>
  <c r="BI19" i="1"/>
  <c r="BI95" i="1"/>
  <c r="BI109" i="1"/>
  <c r="BI102" i="1"/>
  <c r="BI181" i="1"/>
  <c r="BI118" i="1"/>
  <c r="BI17" i="1"/>
  <c r="BI154" i="1"/>
  <c r="BI143" i="1"/>
  <c r="BI100" i="1"/>
  <c r="BI72" i="1"/>
  <c r="BI34" i="1"/>
  <c r="BI67" i="1"/>
  <c r="BI119" i="1"/>
  <c r="BI41" i="1"/>
  <c r="BI21" i="1"/>
  <c r="BI137" i="1"/>
  <c r="BI36" i="1"/>
  <c r="BI26" i="1"/>
  <c r="BI18" i="1"/>
  <c r="BI78" i="1"/>
  <c r="BI66" i="1"/>
  <c r="BI20" i="1"/>
  <c r="BI13" i="1"/>
  <c r="BI165" i="1"/>
  <c r="BI5" i="1"/>
  <c r="BI29" i="1"/>
  <c r="BI55" i="1"/>
  <c r="BI9" i="1"/>
  <c r="BI57" i="1"/>
  <c r="BI142" i="1"/>
  <c r="BI58" i="1"/>
  <c r="BI172" i="1"/>
  <c r="BI151" i="1"/>
  <c r="BI40" i="1"/>
  <c r="BI91" i="1"/>
  <c r="BI106" i="1"/>
  <c r="BI65" i="1"/>
  <c r="BI86" i="1"/>
  <c r="BI90" i="1"/>
  <c r="BI114" i="1"/>
  <c r="BI94" i="1"/>
  <c r="BI169" i="1"/>
  <c r="BI146" i="1"/>
  <c r="BI84" i="1"/>
  <c r="BI155" i="1"/>
  <c r="BI23" i="1"/>
  <c r="BI167" i="1"/>
  <c r="BI135" i="1"/>
  <c r="BI177" i="1"/>
  <c r="BI15" i="1"/>
  <c r="BI52" i="1"/>
  <c r="BI30" i="1"/>
  <c r="BI178" i="1"/>
  <c r="BI162" i="1"/>
  <c r="BI80" i="1"/>
  <c r="BI180" i="1"/>
  <c r="BI33" i="1"/>
  <c r="BI74" i="1"/>
  <c r="BI46" i="1"/>
  <c r="BI3" i="1"/>
  <c r="BI130" i="1"/>
  <c r="BI51" i="1"/>
  <c r="BI147" i="1"/>
  <c r="BI171" i="1"/>
  <c r="BI7" i="1"/>
  <c r="BI174" i="1"/>
  <c r="BI96" i="1"/>
  <c r="BI37" i="1"/>
  <c r="BI69" i="1"/>
  <c r="BI129" i="1"/>
  <c r="BI27" i="1"/>
  <c r="BI49" i="1"/>
  <c r="BI168" i="1"/>
  <c r="BI175" i="1"/>
  <c r="BI85" i="1"/>
  <c r="BI145" i="1"/>
  <c r="BI59" i="1"/>
  <c r="BI73" i="1"/>
  <c r="BI104" i="1"/>
  <c r="BI38" i="1"/>
  <c r="BI64" i="1"/>
  <c r="BI158" i="1"/>
  <c r="BI157" i="1"/>
  <c r="BI113" i="1"/>
  <c r="BI103" i="1"/>
  <c r="BI70" i="1"/>
  <c r="BI25" i="1"/>
  <c r="BI150" i="1"/>
  <c r="BI121" i="1"/>
  <c r="BI115" i="1"/>
  <c r="BI99" i="1"/>
  <c r="BI76" i="1"/>
  <c r="BI89" i="1"/>
  <c r="BI140" i="1"/>
  <c r="BI71" i="1"/>
  <c r="BI77" i="1"/>
</calcChain>
</file>

<file path=xl/comments1.xml><?xml version="1.0" encoding="utf-8"?>
<comments xmlns="http://schemas.openxmlformats.org/spreadsheetml/2006/main">
  <authors>
    <author>Harriet</author>
    <author>Microsoft Office User</author>
    <author>Tom Newman</author>
  </authors>
  <commentList>
    <comment ref="W2" authorId="0" shapeId="0">
      <text>
        <r>
          <rPr>
            <b/>
            <sz val="9"/>
            <color indexed="81"/>
            <rFont val="Tahoma"/>
            <family val="2"/>
          </rPr>
          <t>Harriet:</t>
        </r>
        <r>
          <rPr>
            <sz val="9"/>
            <color indexed="81"/>
            <rFont val="Tahoma"/>
            <family val="2"/>
          </rPr>
          <t xml:space="preserve">
Figures are taken from the 2011/12 return for this year, unless the museum did not respond, in which case they are from the 2010/11 return</t>
        </r>
      </text>
    </comment>
    <comment ref="BL2" authorId="1" shapeId="0">
      <text>
        <r>
          <rPr>
            <b/>
            <sz val="10"/>
            <color indexed="81"/>
            <rFont val="Calibri"/>
            <family val="2"/>
          </rPr>
          <t xml:space="preserve">Excluded from staffing size:
</t>
        </r>
        <r>
          <rPr>
            <sz val="10"/>
            <color indexed="81"/>
            <rFont val="Calibri"/>
            <family val="2"/>
          </rPr>
          <t>Colchester Castle Museum
Epping Forest District Museum
Royal Anglian Regiment
Airborne Assault
Red House</t>
        </r>
      </text>
    </comment>
    <comment ref="BM2" authorId="1" shapeId="0">
      <text>
        <r>
          <rPr>
            <sz val="10"/>
            <color indexed="81"/>
            <rFont val="Calibri"/>
            <family val="2"/>
          </rPr>
          <t>Excluded from staffing size:
Colchester Castle Museum
Epping Forest District Museum
Royal Anglian Regiment
Airborne Assault
Red House</t>
        </r>
      </text>
    </comment>
    <comment ref="BO2" authorId="2" shapeId="0">
      <text>
        <r>
          <rPr>
            <b/>
            <sz val="9"/>
            <color indexed="81"/>
            <rFont val="Tahoma"/>
            <family val="2"/>
          </rPr>
          <t>Tom Newman:</t>
        </r>
        <r>
          <rPr>
            <sz val="9"/>
            <color indexed="81"/>
            <rFont val="Tahoma"/>
            <family val="2"/>
          </rPr>
          <t xml:space="preserve">
Red House not included in figures</t>
        </r>
      </text>
    </comment>
    <comment ref="BP37" authorId="1" shapeId="0">
      <text>
        <r>
          <rPr>
            <b/>
            <sz val="10"/>
            <color indexed="81"/>
            <rFont val="Calibri"/>
            <family val="2"/>
          </rPr>
          <t>Microsoft Office User:</t>
        </r>
        <r>
          <rPr>
            <sz val="10"/>
            <color indexed="81"/>
            <rFont val="Calibri"/>
            <family val="2"/>
          </rPr>
          <t xml:space="preserve">
Hours of paid work are 1177</t>
        </r>
      </text>
    </comment>
  </commentList>
</comments>
</file>

<file path=xl/comments2.xml><?xml version="1.0" encoding="utf-8"?>
<comments xmlns="http://schemas.openxmlformats.org/spreadsheetml/2006/main">
  <authors>
    <author>Tom Newman</author>
    <author>Microsoft Office User</author>
  </authors>
  <commentList>
    <comment ref="O1" authorId="0" shapeId="0">
      <text>
        <r>
          <rPr>
            <b/>
            <sz val="9"/>
            <color indexed="81"/>
            <rFont val="Tahoma"/>
            <family val="2"/>
          </rPr>
          <t>Tom Newman:</t>
        </r>
        <r>
          <rPr>
            <sz val="9"/>
            <color indexed="81"/>
            <rFont val="Tahoma"/>
            <family val="2"/>
          </rPr>
          <t xml:space="preserve">
Figures in yellow used in income figures. Figures not highlighted were not used in benchmarking.</t>
        </r>
      </text>
    </comment>
    <comment ref="AB1" authorId="0" shapeId="0">
      <text>
        <r>
          <rPr>
            <b/>
            <sz val="9"/>
            <color indexed="81"/>
            <rFont val="Tahoma"/>
            <family val="2"/>
          </rPr>
          <t>Tom Newman:</t>
        </r>
        <r>
          <rPr>
            <sz val="9"/>
            <color indexed="81"/>
            <rFont val="Tahoma"/>
            <family val="2"/>
          </rPr>
          <t xml:space="preserve">
Figures in yellow used in income figures. Figures not highlighted were not used in benchmarking.</t>
        </r>
      </text>
    </comment>
    <comment ref="H112" authorId="1" shapeId="0">
      <text>
        <r>
          <rPr>
            <b/>
            <sz val="10"/>
            <color indexed="81"/>
            <rFont val="Calibri"/>
            <family val="2"/>
          </rPr>
          <t>Microsoft Office User:</t>
        </r>
        <r>
          <rPr>
            <sz val="10"/>
            <color indexed="81"/>
            <rFont val="Calibri"/>
            <family val="2"/>
          </rPr>
          <t xml:space="preserve">
Combined café/retail income</t>
        </r>
      </text>
    </comment>
  </commentList>
</comments>
</file>

<file path=xl/sharedStrings.xml><?xml version="1.0" encoding="utf-8"?>
<sst xmlns="http://schemas.openxmlformats.org/spreadsheetml/2006/main" count="6922" uniqueCount="722">
  <si>
    <t>Name of Museum</t>
  </si>
  <si>
    <t>Region</t>
  </si>
  <si>
    <t>County</t>
  </si>
  <si>
    <t>Multi-site</t>
  </si>
  <si>
    <t>Full Accreditation</t>
  </si>
  <si>
    <t>East of England</t>
  </si>
  <si>
    <t>Yes</t>
  </si>
  <si>
    <t>Independent</t>
  </si>
  <si>
    <t>Military</t>
  </si>
  <si>
    <t>Local Authority</t>
  </si>
  <si>
    <t>Cecil Higgins Art Gallery</t>
  </si>
  <si>
    <t>Beds</t>
  </si>
  <si>
    <t>Provisional Accreditation (10 months)</t>
  </si>
  <si>
    <t>John Bunyan Museum and Library</t>
  </si>
  <si>
    <t>Leighton Buzzard Railway Museum</t>
  </si>
  <si>
    <t>Stockwood Discovery Centre (Museums Luton)</t>
  </si>
  <si>
    <t>Museums Luton</t>
  </si>
  <si>
    <t>The Higgins Art Gallery &amp; Museum</t>
  </si>
  <si>
    <t>Wardown Park Museum (Museums Luton:)</t>
  </si>
  <si>
    <t>Woburn Heritage Centre</t>
  </si>
  <si>
    <t>The Panacea Museum</t>
  </si>
  <si>
    <t>Intelligence Corp Museum, Chicksands</t>
  </si>
  <si>
    <t>Type (ACE data)</t>
  </si>
  <si>
    <t>Responded 2015-16</t>
  </si>
  <si>
    <t xml:space="preserve">Norris Museum </t>
  </si>
  <si>
    <t>Cambs</t>
  </si>
  <si>
    <t>Stained Glass Museum</t>
  </si>
  <si>
    <t>University</t>
  </si>
  <si>
    <t>Fitzwilliam Museum</t>
  </si>
  <si>
    <t>Cromwell Museum</t>
  </si>
  <si>
    <t>Provisional Accreditation (12 months)</t>
  </si>
  <si>
    <t>Wisbech &amp; Fenland Museum</t>
  </si>
  <si>
    <t>March and District Museum</t>
  </si>
  <si>
    <t>Thorney Heritage Museum</t>
  </si>
  <si>
    <t>Whittlesey Museum</t>
  </si>
  <si>
    <t>Whipple Museum of the History of Science</t>
  </si>
  <si>
    <t>Sedgwick Museum of Earth Sciences</t>
  </si>
  <si>
    <t>University Museum of Zoology, Cambridge</t>
  </si>
  <si>
    <t>Kettle's Yard Museum</t>
  </si>
  <si>
    <t>Cambridge Museum of Technology</t>
  </si>
  <si>
    <t>Museum of Cambridge</t>
  </si>
  <si>
    <t>Peterborough Museum &amp; Art Gallery</t>
  </si>
  <si>
    <t>Museum of Classical Archaeology, University of Cambridge</t>
  </si>
  <si>
    <t>Ely Museum</t>
  </si>
  <si>
    <t>Chatteris Museum</t>
  </si>
  <si>
    <t>Burwell Museum Trust Ltd</t>
  </si>
  <si>
    <t>Ramsey Rural Museum</t>
  </si>
  <si>
    <t>Royal Anglian Regiment Museum</t>
  </si>
  <si>
    <t>Octavia Hills Birthplace House</t>
  </si>
  <si>
    <t>Nene Valley Railway</t>
  </si>
  <si>
    <t>St Neots Museum</t>
  </si>
  <si>
    <t>The Farmland Museum &amp; Denny Abbey</t>
  </si>
  <si>
    <t>Anglesey Abbey, Gardens and Lode Mill</t>
  </si>
  <si>
    <t>National Trust</t>
  </si>
  <si>
    <t>Peckover House and Garden</t>
  </si>
  <si>
    <t>Wimpole Hall</t>
  </si>
  <si>
    <t>The Polar Museum, Scott Polar Research Institute</t>
  </si>
  <si>
    <t>Imperial War Museum Duxford</t>
  </si>
  <si>
    <t>National</t>
  </si>
  <si>
    <t>Airborne Assault Museum</t>
  </si>
  <si>
    <t>Prickwillow Drainage Engine Museum</t>
  </si>
  <si>
    <t>Centre for Computing History</t>
  </si>
  <si>
    <t>T340</t>
  </si>
  <si>
    <t>Formally working towards</t>
  </si>
  <si>
    <t>Flag Fen</t>
  </si>
  <si>
    <t>T5</t>
  </si>
  <si>
    <t>New Hall Art Collection</t>
  </si>
  <si>
    <t>East Anglian Railway Museum</t>
  </si>
  <si>
    <t>Essex</t>
  </si>
  <si>
    <t>Southend Pier Museum</t>
  </si>
  <si>
    <t>Chelmsford Museum &amp; Essex Regiment</t>
  </si>
  <si>
    <t>Chelmsford Museums</t>
  </si>
  <si>
    <t>Essex Regiment Museum</t>
  </si>
  <si>
    <t>Southend Central Museum and Planetarium (Southend Museum Service)</t>
  </si>
  <si>
    <t>Southend Museum Service</t>
  </si>
  <si>
    <t>-</t>
  </si>
  <si>
    <t>Beecroft Art Gallery (Southend Museum Service)</t>
  </si>
  <si>
    <t>Prittlewell Priory Museum (Southend Museum Service)</t>
  </si>
  <si>
    <t>South Church Hall Museum (Southend Museum Service)</t>
  </si>
  <si>
    <t>Mersea Island Museum</t>
  </si>
  <si>
    <t>Fry Art Gallery</t>
  </si>
  <si>
    <t>Saffron Walden Museum</t>
  </si>
  <si>
    <t>Colchester Castle Museum (CIMS)</t>
  </si>
  <si>
    <t>CIMS</t>
  </si>
  <si>
    <t>Hollytrees Museum (CIMS)</t>
  </si>
  <si>
    <t>Natural History Museum, Colchester (CIMS)</t>
  </si>
  <si>
    <t>Harlow Museum</t>
  </si>
  <si>
    <t>Braintree District Museum</t>
  </si>
  <si>
    <t>Braintree Museums</t>
  </si>
  <si>
    <t>Brentwood Museum</t>
  </si>
  <si>
    <t>Burnham-on-Crouch and District Museum</t>
  </si>
  <si>
    <t>Brightlingsea Museum</t>
  </si>
  <si>
    <t>Epping Forest District Museum</t>
  </si>
  <si>
    <t>Audley End</t>
  </si>
  <si>
    <t>English Heritage</t>
  </si>
  <si>
    <t>Paycockeʼs House &amp; Garden</t>
  </si>
  <si>
    <t xml:space="preserve">Essex Collection of Art from Latin America, University of Essex, </t>
  </si>
  <si>
    <t>Essex Police Museum</t>
  </si>
  <si>
    <t>Northweald Airfield Museum</t>
  </si>
  <si>
    <t>Museum of Power</t>
  </si>
  <si>
    <t>Combined Military Services Museum</t>
  </si>
  <si>
    <t>Warner Textile Archive</t>
  </si>
  <si>
    <t>Rayleigh Windmill</t>
  </si>
  <si>
    <t>Essex Fire Museum</t>
  </si>
  <si>
    <t>Maldon District Museum</t>
  </si>
  <si>
    <t>Not Accredited</t>
  </si>
  <si>
    <t>Rayleigh Town Museum</t>
  </si>
  <si>
    <t>Stow Maries Airfield</t>
  </si>
  <si>
    <t>Letchworth Museum and Art Gallery (North Herts Museums Service)</t>
  </si>
  <si>
    <t>Herts</t>
  </si>
  <si>
    <t>North Herts Museums Service</t>
  </si>
  <si>
    <t>Yes (closed for redevelopment)</t>
  </si>
  <si>
    <r>
      <t xml:space="preserve">Hitchin Museum &amp; Art Gallery </t>
    </r>
    <r>
      <rPr>
        <b/>
        <sz val="11"/>
        <rFont val="Calibri"/>
        <family val="2"/>
        <scheme val="minor"/>
      </rPr>
      <t>(North Herts Museums Service)</t>
    </r>
  </si>
  <si>
    <t>Mill Green Museum &amp; Mill (Welwyn Hatfield Museum Service)</t>
  </si>
  <si>
    <t>Welwyn Hatfield Museum Service</t>
  </si>
  <si>
    <t>Welwyn Roman Baths (Welwyn Hatfield Museum Service)</t>
  </si>
  <si>
    <t>Royston &amp; District Museum &amp; Art Gallery</t>
  </si>
  <si>
    <t>Watford Museum</t>
  </si>
  <si>
    <t>Ashwell Village Museum</t>
  </si>
  <si>
    <t>Stevenage Museum</t>
  </si>
  <si>
    <t>Verulamium Museum (St Albans Museums)</t>
  </si>
  <si>
    <t>St Albans Museums</t>
  </si>
  <si>
    <t>Museum of St Albans</t>
  </si>
  <si>
    <t>Much Hadham Forge Museum</t>
  </si>
  <si>
    <t>Ware Museum</t>
  </si>
  <si>
    <t>Hertford Museum</t>
  </si>
  <si>
    <t>Bishop's Stortford Museum</t>
  </si>
  <si>
    <t>Lowewood Museum</t>
  </si>
  <si>
    <t>Bushey Museum and Art Gallery</t>
  </si>
  <si>
    <t>Dacorum Heritage Trust Ltd</t>
  </si>
  <si>
    <t>Shaw's Corner (National Trust)</t>
  </si>
  <si>
    <t>British Schools Museum</t>
  </si>
  <si>
    <t>Natural History Museum at Tring</t>
  </si>
  <si>
    <t>Potters Bar Museum</t>
  </si>
  <si>
    <t>de Havilland Aircraft Heritage Centre</t>
  </si>
  <si>
    <t>Garden City Collection, Letchworth</t>
  </si>
  <si>
    <t>Sainsbury Centre for Visual Arts, UEA</t>
  </si>
  <si>
    <t>Norfolk</t>
  </si>
  <si>
    <t xml:space="preserve">100th Bomb Group Memorial Museum </t>
  </si>
  <si>
    <t>Fakenham Museum of Gas and Local History</t>
  </si>
  <si>
    <t>Norwich Castle Museum &amp; Art Gallery (Norfolk Museums Service)</t>
  </si>
  <si>
    <t>NMS</t>
  </si>
  <si>
    <t>Strangers Hall (Norfolk Museum Service)</t>
  </si>
  <si>
    <t>Time and Tide Museum, Great Yarmouth (Norfolk Museums Service)</t>
  </si>
  <si>
    <t>Elizabethan House Museum (Norfolk Museums Service)</t>
  </si>
  <si>
    <t>Tolhouse Museum (Norfolk Museum Service)</t>
  </si>
  <si>
    <t>The Lynn Museum (Norfolk Museum Service)</t>
  </si>
  <si>
    <t>Gressenhall Farm &amp; Workhouse (Norfolk Museum Service)</t>
  </si>
  <si>
    <t>Cromer Museum (Norfolk Museum Service)</t>
  </si>
  <si>
    <t>The Ancient House, Museum of Thetford Life (Norfolk Museums Service)</t>
  </si>
  <si>
    <t>Royal Norfolk Regimental Museum</t>
  </si>
  <si>
    <t>Housed in Norwich Castle Museum</t>
  </si>
  <si>
    <t>Swaffham Museum</t>
  </si>
  <si>
    <t>True's Yard</t>
  </si>
  <si>
    <t xml:space="preserve">Bishop Bonner's Cottage Museum </t>
  </si>
  <si>
    <t>The William Marriott Museum</t>
  </si>
  <si>
    <t>Diss Museum</t>
  </si>
  <si>
    <t>Sheringham Museum Trust</t>
  </si>
  <si>
    <t>Wymondham Heritage Museum</t>
  </si>
  <si>
    <t>Old Merchants House</t>
  </si>
  <si>
    <t>Row 111 Great Yarmouth</t>
  </si>
  <si>
    <t>Blickling Hall</t>
  </si>
  <si>
    <t>Felbrigg Hall, Gardens and Estate</t>
  </si>
  <si>
    <t>Oxburgh Hall</t>
  </si>
  <si>
    <t>Bressingham Steam Museum</t>
  </si>
  <si>
    <t>RAF Defence Radar Museum</t>
  </si>
  <si>
    <t>Museum of the Broads</t>
  </si>
  <si>
    <t>Nelson Museum</t>
  </si>
  <si>
    <t>Mundesley Maritime Museum</t>
  </si>
  <si>
    <t>RNLI Henry Blogg Museum</t>
  </si>
  <si>
    <t>St Seraphim's Icon and Railway Heritage Museum</t>
  </si>
  <si>
    <t>Norfolk Tank Museum</t>
  </si>
  <si>
    <t>Peter Coke Shell Gallery</t>
  </si>
  <si>
    <t>Lowestoft Museum</t>
  </si>
  <si>
    <t>Suffolk</t>
  </si>
  <si>
    <t>Laxfield and District Museum</t>
  </si>
  <si>
    <t>Long Shop Museum</t>
  </si>
  <si>
    <t>Lanman Museum</t>
  </si>
  <si>
    <t>Dunwich Museum</t>
  </si>
  <si>
    <t>National Heritage Centre for Horseracing and Sporting Art</t>
  </si>
  <si>
    <t>Little Hall Museum</t>
  </si>
  <si>
    <t>Gainsborough's House Society</t>
  </si>
  <si>
    <t>Mildenhall &amp; District Museum</t>
  </si>
  <si>
    <t>Moyse's Hall Museum (St Edmundsbury Heritage)</t>
  </si>
  <si>
    <t>Ipswich Museum (CIMS)</t>
  </si>
  <si>
    <t>Christchurch Mansion (CIMS)</t>
  </si>
  <si>
    <t>Museum of East Anglian Life</t>
  </si>
  <si>
    <t>Southwold Museum</t>
  </si>
  <si>
    <t>Haverhill &amp; District Local History Group</t>
  </si>
  <si>
    <t>Beccles and District Museum</t>
  </si>
  <si>
    <t>Halesworth &amp; District Museum</t>
  </si>
  <si>
    <t>Clare Ancient House Museum</t>
  </si>
  <si>
    <t>Aldeburgh Museum</t>
  </si>
  <si>
    <t>Ipswich Transport Museum</t>
  </si>
  <si>
    <t>Woodbridge Museum</t>
  </si>
  <si>
    <t>Saxtead Mill</t>
  </si>
  <si>
    <t>Ickworth House</t>
  </si>
  <si>
    <t>Melford Hall</t>
  </si>
  <si>
    <t>Lowestoft Maritime Museum</t>
  </si>
  <si>
    <t>left blank</t>
  </si>
  <si>
    <t>The East Anglia Transport Museum</t>
  </si>
  <si>
    <t>Norfolk &amp; Suffolk Aviation Museum</t>
  </si>
  <si>
    <t>Orford Museum</t>
  </si>
  <si>
    <t>Felixstowe Museum</t>
  </si>
  <si>
    <t>HMS Ganges Museum</t>
  </si>
  <si>
    <t>Provisional Accreditation (8 months)</t>
  </si>
  <si>
    <t>The Vestey Gallery of British Sporting Art</t>
  </si>
  <si>
    <t>Mid Suffolk Light Railway</t>
  </si>
  <si>
    <t>West Stow Anglo-Saxon Centre</t>
  </si>
  <si>
    <t>Suffolk Regiment Museum</t>
  </si>
  <si>
    <t>Lavenham Guildhall Museum</t>
  </si>
  <si>
    <t>Saxmundham Museum</t>
  </si>
  <si>
    <t>Redbourn Village Museum and Historical Society</t>
  </si>
  <si>
    <t>Bentwaters Cold war Museum</t>
  </si>
  <si>
    <t>yes</t>
  </si>
  <si>
    <t>University of Cambridge Museum of Archaeology &amp; Anthropology</t>
  </si>
  <si>
    <t>UHArts</t>
  </si>
  <si>
    <t>Walsingham abbey ground and Shirehall Museum</t>
  </si>
  <si>
    <t>Scout Association Heritage Service</t>
  </si>
  <si>
    <t>South Asian Decorative Arts and Crafts Collection Trust</t>
  </si>
  <si>
    <t>Ridgmont Station Heritage Centre</t>
  </si>
  <si>
    <t>No</t>
  </si>
  <si>
    <t>Actual</t>
  </si>
  <si>
    <t>Estimate</t>
  </si>
  <si>
    <t>NA</t>
  </si>
  <si>
    <t xml:space="preserve">No </t>
  </si>
  <si>
    <t>As a museum we have received a significant amount of support from SHARE Museums East. The team are always on hand when needed and were especially helpful during our Accreditation submission and in offering us funds and advice when we decided to change to an Incorporated Organisation.</t>
  </si>
  <si>
    <t>This year has been extremely busy for our museum; we've launched our Twitter account, returned our Accreditation submission and been involved with celebrating the 75th Anniversary of the 8th Airforce arriving in East Anglia.</t>
  </si>
  <si>
    <t>Q2. Museum type:</t>
  </si>
  <si>
    <t>Q6. Is this is an actual or an estimate?</t>
  </si>
  <si>
    <t>Q7. What was the total number of visits by adults (16 or above)?</t>
  </si>
  <si>
    <t>Q8. Is this is an actual or an estimate?</t>
  </si>
  <si>
    <t>Q9. What was the total number of visits by children (under 16s)?</t>
  </si>
  <si>
    <t>Q10. Is this is an actual or an estimate?</t>
  </si>
  <si>
    <t>Q11. Is there a reason for any significant change on the previous year (e.g. closed for redevelopment, major exhibition)?</t>
  </si>
  <si>
    <t>Q13. What was the total number of unique visitors to your website?</t>
  </si>
  <si>
    <t>Q14. Does your museum use social media to engage with audiences?</t>
  </si>
  <si>
    <t>Q15. If yes, how many subscribers does the museum have to its social media platforms (inc Twitter, Facebook, Instagram, Flickr, Historypin etc)</t>
  </si>
  <si>
    <t>Q16.2. Total number of participants</t>
  </si>
  <si>
    <t>Q17. Is this is an actual or an estimate?</t>
  </si>
  <si>
    <t>Q18.2. Total number of participants</t>
  </si>
  <si>
    <t>Q19. What was the total number of different schools and formal learning organisations engaged?</t>
  </si>
  <si>
    <t>Q20. Is this is an actual or an estimate?</t>
  </si>
  <si>
    <t>Q21.2. Total number of participants</t>
  </si>
  <si>
    <t>Q22. Is this is an actual or an estimate?</t>
  </si>
  <si>
    <t>Q23.2. Total number of participants</t>
  </si>
  <si>
    <t>Q24. Is this is an actual or an estimate?</t>
  </si>
  <si>
    <t>Q29.1. Admissions income</t>
  </si>
  <si>
    <t>Q29.4. Other earned income (This includes events, hospitality, education, and any other income from trading activity e.g. property rental)</t>
  </si>
  <si>
    <t>Q29.5. Regular public subsidy/ grant (e.g. core funding from local authority, Higher Education, DCMS, Arts Council NPO, MODF  or other regular core funding)</t>
  </si>
  <si>
    <t>Q29.6. Donations (include all money received from the visiting general public)</t>
  </si>
  <si>
    <t>Q29.7. Other contributed income (e.g. any money receive through Friends including friends/member schemes, any sponsorship, bequests, income from corporate membership schemes or other non-earned income)</t>
  </si>
  <si>
    <t>Q29.8. Revenue grant/ project income</t>
  </si>
  <si>
    <t>Q30.1. Total income (please do not include capital, this should be equal to the combined total of the above income categories)</t>
  </si>
  <si>
    <t>Q30.2. Total expenditure (including staff costs but not including capital funding)</t>
  </si>
  <si>
    <t>Q30.3. Total expenditure on staff costs</t>
  </si>
  <si>
    <t>Q36. Is this is an actual or an estimate?</t>
  </si>
  <si>
    <t>Q37.2. How many Full-time Equivalent paid staff does the museum employ?</t>
  </si>
  <si>
    <t>Q38. Is this is an actual or an estimate?</t>
  </si>
  <si>
    <t>Q39. If you have received support or advice through the SHARE Museums East programme this year, please say a few words about how you found this experience and what you plan to do next.</t>
  </si>
  <si>
    <t>Q40. Lastly, if your museum would like to draw attention to any positive work/news it has been involved with in the last 12 months; please use this space to explain what this is</t>
  </si>
  <si>
    <t>Figures in line with previous years.</t>
  </si>
  <si>
    <t>13,000 Facebook</t>
  </si>
  <si>
    <t>None</t>
  </si>
  <si>
    <t>unknown</t>
  </si>
  <si>
    <t>Twitter - 256 followers, Fecebook - 47 followers.</t>
  </si>
  <si>
    <t>N/A</t>
  </si>
  <si>
    <t xml:space="preserve">In December 2016 we received confirmation that we were successful in our HLF application - see Museum website for information. </t>
  </si>
  <si>
    <t>run by Friends Asociation</t>
  </si>
  <si>
    <t>Increase in number due to more publicity activity &amp; different strategy over Beccles Charter Weekend</t>
  </si>
  <si>
    <t>A number of staff have attended SHARE training days and they have been outstanding. We expect to continue accessing SHARE training courses in the future.</t>
  </si>
  <si>
    <t>We have successfully built up links with other local and community organisations and engaged some of them in mounting temporary exhibitions at the Museum.</t>
  </si>
  <si>
    <t>No significant change.</t>
  </si>
  <si>
    <t>It has become clear that the recording methods for visitors need working on; previous estimates appear to have been rather optimistic.</t>
  </si>
  <si>
    <t>We are establishing a new on-site store, this has been hugely demanding but will substantially improve the standards of collections care we are able to achieve.</t>
  </si>
  <si>
    <t>Information not available</t>
  </si>
  <si>
    <t>Support and funding through 2 Ready to Borrow funds. Plan to attend more Share Training courses in 2017/18.</t>
  </si>
  <si>
    <t>Following the purchase of a former Police Station in 2015, the Trustees have now gained planning permission to renovate the building and add an extension.  It is hope building will start shortly and we envisage opening our new premises in 2019</t>
  </si>
  <si>
    <t>Twitter- 1,191. Facebook- 1,028. Instagram- 165</t>
  </si>
  <si>
    <t>SHARE have been very supportive- particularly with training needs and advice. Intend to continue to use this resource in 2017/18.</t>
  </si>
  <si>
    <t>Lots of positive work and an increase in diversity of audience. Greater focus on outreach has allowed the museum to engage with more people.</t>
  </si>
  <si>
    <t>Not known</t>
  </si>
  <si>
    <t>none</t>
  </si>
  <si>
    <t>Not recorded - informal drop-in</t>
  </si>
  <si>
    <t>Advice received has always proved very useful</t>
  </si>
  <si>
    <t>Our programme of Children’s Historical fundays has been expanded and remains very popular.</t>
  </si>
  <si>
    <t>No significant change</t>
  </si>
  <si>
    <t>Don't know</t>
  </si>
  <si>
    <t>SHARE is a brilliant opportunity for our staff and volunteers to access training. As a new museum manager I have found Volunteer Management training and the chance to network with other professionals in similar situations particularly useful.</t>
  </si>
  <si>
    <t xml:space="preserve">Advice from Share'd enterprise on crowd funding was very helpful and easy to access.  It supported the planning for our Indiegogo campaign which brought in over a thousand pounds. </t>
  </si>
  <si>
    <t>We secured round 2 funding from HLF for our redevelopment project.  We have also acquired a long term lease on a neighbouring property, the Engineer's House, which has been a long term aspiration for the museum.  Ideally we would like to have purchased it but the museum was focusing on the redevelopment project and  could not divert resource into additional fundraising.  We began to develop a relationship with a local business specialising in food and drink events during early 2017 which came to fruition later in the year (outside this return) and has paid the rent on the Engineer's House.</t>
  </si>
  <si>
    <t>Yes on a volunteers workshop. It was very helpful getting the experiences of other attendees. I have been implementing the learning by clarifying the roles I have advertised for volunteers to fill. The response so far has exceeded expectations</t>
  </si>
  <si>
    <t>Implementation of a kids summer 'trail' scheme which was sponsored by our local Osteopathy Clinic. It has really brought the kids in and of course the parents. Our donations have increased at least 50%.</t>
  </si>
  <si>
    <t>Usual benefits of contributing our room, and  quid pro quo of   going to other  meetings elsewhere;  Ready to Borrow funding.</t>
  </si>
  <si>
    <t>HLF Stage 1 grant   preparing for Stage 2 submission in March 2017. Stage 2 successful implementation beginning- to redisplay older parks of museum,  install cafe and  make better links between museum and park</t>
  </si>
  <si>
    <t>no</t>
  </si>
  <si>
    <t>Not set up to count them</t>
  </si>
  <si>
    <t>55 Twitter</t>
  </si>
  <si>
    <t>free</t>
  </si>
  <si>
    <t>We always check the SHARE programme for relevant training and will continue to do so. For 2016-17 there was only programme attended, the Trustee Muster.</t>
  </si>
  <si>
    <t>The Museum is closely involved in the consultation phase of an HLF grant for Clare Castle Country Park. We will provide much of the research for interpretation.</t>
  </si>
  <si>
    <t>n/a</t>
  </si>
  <si>
    <t>Major Exhibition &amp; Workshops</t>
  </si>
  <si>
    <t>Took part in the Traditional Hertfordshire project, with a pop up shop at the Marlowes Shopping Centre. We had over 3000 visitors and invited local artists and dancers to do demonstrations for us. We also hosted 5 workshops related to the project working with a local arts and craft shop and Girl Guides</t>
  </si>
  <si>
    <t>Always good</t>
  </si>
  <si>
    <t>Not recorded</t>
  </si>
  <si>
    <t>Increased social media presence</t>
  </si>
  <si>
    <t>Not Known</t>
  </si>
  <si>
    <t>no significant change</t>
  </si>
  <si>
    <t>We have greatly valued the wide ranging support we receive from SHARE and we plan to continue to make the most of all the opportunities that SHARE makes available</t>
  </si>
  <si>
    <t>157 (note this figure is the same for Lowewood Museum as outreach operates as a joint museum service)</t>
  </si>
  <si>
    <t>4421(note this figure is the same for Lowewood Museum as outreach operates as a joint museum service)</t>
  </si>
  <si>
    <t>30  (note this figure is the same for Lowewood Museum as outreach operates as a joint museum service)</t>
  </si>
  <si>
    <t>Same for Epping Forest District and Lowewood Museums: The museum staff attended a number of SHARE’s training and development opportunities. These included: Fundraising training and cohorts via SHARED Enterprise, SHARE Retail training and Forum (Shane Bartley – Chair), SHARE audience development cohort, The SHARE conference and the Children &amp; Young People’s Conference. The museum’s Education Officer also continues to benefit from the Changemakers course. The museums also received funding via SHARE’s Audience Development grant, Governance grant scheme and Making the Most of Loans. The museums also benefit from involvement with Museums Essex, the Regional Learning Network and the Essex Museums Education Group and The Hertfordshire Association of Museum (HAM) (both the curators and education networks and funding support).</t>
  </si>
  <si>
    <t xml:space="preserve">Epping Forest District and Lowewood Museums continue to explore resilience work principally through its Arts Council funded No Borders project, working in partnership with Chelmsford Museum. As part of this project, a Commercial Manager, Fundraising Manager and Public Engagement Officer were appointed to work across the 3 museums to explore opportunities within these areas. Work includes a new refreshment and retail space for Lowewood Museum and the development of a Development Trust, as a fundraising charity enabling income from sources not openly available to local authority museums.  Lowewood Museum also received £68,500 for its First World War commemoration project exploring the life of serviceman Stephen Warner, who war diaries are held within the collection. </t>
  </si>
  <si>
    <t>approx. 150 hours for teaching and research space, all year for  gallery space</t>
  </si>
  <si>
    <t>approx. 1,000</t>
  </si>
  <si>
    <t>Growth in use of space as more people at the University know about it</t>
  </si>
  <si>
    <t>Research grants</t>
  </si>
  <si>
    <t>Yes - pop up museum in a County town museum over the summer 2016</t>
  </si>
  <si>
    <t>For some exhibitions/ seasonally</t>
  </si>
  <si>
    <t>3 for crafts events</t>
  </si>
  <si>
    <t>Salary costs only</t>
  </si>
  <si>
    <t>Unknown</t>
  </si>
  <si>
    <t>3 per talk or per person for group visit</t>
  </si>
  <si>
    <t>2 for craft events, £1 for trails</t>
  </si>
  <si>
    <t>This has been a reletivley stable number of visitors showing only a small increase over recent years</t>
  </si>
  <si>
    <t>I am unsure how to analyze this so would prefer to leave blank this year</t>
  </si>
  <si>
    <t>Facebook 102 Followers Twitter 101 Followers</t>
  </si>
  <si>
    <t>The museum has been subjected to an intensive physical and historical survey to identify maintenance spend needs over a 10-year period, negotiations regarding a new lease arrangement</t>
  </si>
  <si>
    <t>No sig change</t>
  </si>
  <si>
    <t>499  Facebook</t>
  </si>
  <si>
    <t>We have received the following recognition: •   Awarded the Merit Award in the 2016 Suffolk Museum of the Year competition •   Awarded TripAdvisor Certificate of Excellence 2017 •	Involvement in a project run by Chronicle Storytelling to offer our visitors multimedia detail on some of our artefacts via their smartphones. This will involve oral history recordings as well as reference to our photographic archives.</t>
  </si>
  <si>
    <t xml:space="preserve">Yes, business sponsorship and training of our Development Officer.  Development continuing with the work started on this course. </t>
  </si>
  <si>
    <t>The beginning of a £8.7 million capital project and endowment with an Heritage Lottery Fund support of £5.23 million  to transform the House into a national centre and one of the region’s leading heritage museum and galleries. Gainsborough’s House is in a partnership initiative between Gainsborough’s House and Colchester and Ipswich Museums Service to develop a new Gainsborough-Constable art trail in Suffolk, exploring the art and landscape of two of the county’s greatest painters: Thomas Gainsborough (1727–1788) and John Constable (1776– 1837). During 2016 the Gainsborough’s House re-structured and transferred our operations into an incorporated charity; a charitable company limited by guarantee.  The new charitable company has the same objects as the Society with improvements to some provisions to give the organisation flexibility in terms of its management and tax status. Gainsborough’s House is a partner organisation involved with The National Portrait Gallery’s Inspiring People project, which will involve joint working on training, internships, exhibitions, displays and events. Gainsborough’s House is in partnership with the Hamburger Kunsthalle where we are working with a collaborative exhibition on Gainsborough's landscapes which opens in March 2018. Like the exhibition in the Netherlands, it will be the first monographic show of Gainsborough in the country in which it is held and demonstrates that Gainsborough's House is international in its reach, ambition, and encouraging wider interest in the artist.</t>
  </si>
  <si>
    <t>We have provided more access via exhibitions and outreach and have also started to evaluate more.</t>
  </si>
  <si>
    <t>195, Facebook and 700 (approx) Twitter (2587 total interactions)</t>
  </si>
  <si>
    <t>Went to Learning Outside the classroom  - useful as we do not have a main site for visits. Have been using advice as we promote ourselves to local schools.</t>
  </si>
  <si>
    <t>We worked with our local Art Gallery (under same funding umbrella) to put on an exhibition with local artists which gave us a new perspective on the collections and reached a wider audience.</t>
  </si>
  <si>
    <t>SHARE keeps in touch with events and courses. We are hoping to take more advantage of the services offered but time is limited to keeping the museum operating and open.</t>
  </si>
  <si>
    <t>We have allowed visitors to enter when volunteers meet on Wednesday mornings and have taken the decision to formalise this in the coming year.</t>
  </si>
  <si>
    <t>??</t>
  </si>
  <si>
    <t>.</t>
  </si>
  <si>
    <t>American Air Museum redevelopment opened in March 2016 and as part of our wider Learning Review we paused the majority of our learning programme activity</t>
  </si>
  <si>
    <t>618,6065 (N.B. This is the global IWM website)</t>
  </si>
  <si>
    <t>Cannot provide this information at this point</t>
  </si>
  <si>
    <t>N/A - As part of our wider Learning Review we paused the majority of our learning programme activity to allow staff to have the time to contribute</t>
  </si>
  <si>
    <t>N/A - As part of our wider Learning Review we paused the majority of our learning programme activity to allow staff to have the time to contibute</t>
  </si>
  <si>
    <t>N/A - Only available information is for IWM as a whole</t>
  </si>
  <si>
    <t xml:space="preserve">The redeveloped American Air Museum (AAM) was well received as recorded in the evaluation published in September 2016. The evaluation showed an increase in repeat visitors with 72% of visitors sampled having visited before. It also highlighted how visitors are enjoying the new displays and the stories and films allow them to make emotional connections to the material on display. There is also the innovative opportunity for audiences to contribute to the online memorial that also acts as an interactive archive of images and information.  The AAM also received a highly commended award in the category of permanent exhibition at the 2017 Museums and Heritage Awards. </t>
  </si>
  <si>
    <t>UNKNOWN</t>
  </si>
  <si>
    <t>?</t>
  </si>
  <si>
    <t>training sessions, networks etc,. generally fine</t>
  </si>
  <si>
    <t>Heritage Lottery project - The Journey from Bunyan to the Brickworks</t>
  </si>
  <si>
    <t>Open but redevelopment of Page's Park  station reduced numbers by 12% below budget</t>
  </si>
  <si>
    <t>HRA Peter Manisty award (Most prestigous in railway preservation); QAVS; Transport Trust Red Wheel</t>
  </si>
  <si>
    <t>652 on Twitter, 50 on Facebook</t>
  </si>
  <si>
    <t>Very helpful for the accreditation process</t>
  </si>
  <si>
    <t>A lot of interest generated by the launch of a biography of Major Gayer Anderson who, with his twin, restored and furnished Little Hall.</t>
  </si>
  <si>
    <t>no real change in numbers</t>
  </si>
  <si>
    <t>We have enroled our Volunteer Coordinadtor onto a course for this topic, and found it very useful indeed</t>
  </si>
  <si>
    <t>We are curently in the development year stage 1 for a HLF transformation project. to restore the long shop roof and also transform the existing exhibits.</t>
  </si>
  <si>
    <t>Slight increases mainly due to finer weather during school holidays but over a few more days as Easter was early.</t>
  </si>
  <si>
    <t>FB about 50 but growing as news spreads.</t>
  </si>
  <si>
    <t>Very valuable and helpful</t>
  </si>
  <si>
    <t>Lowestoft Rising with Museums Project Officer (Taryn Dennis) funded to attract more volunteers</t>
  </si>
  <si>
    <t>I am the new (since May) Chairperson and SHARE has very supportive with advice and guidance.</t>
  </si>
  <si>
    <t>We are now positively engaged with EssexPass, 2 for 1, scheme &amp; all days of the free entry Heritage Open days.</t>
  </si>
  <si>
    <t>Targeted help and advice on a variety of volunteer related issues including recruitment, retention and training</t>
  </si>
  <si>
    <t>Extensive restoration of West room, renewal of lighting in external areas</t>
  </si>
  <si>
    <t>Impossible to quantify</t>
  </si>
  <si>
    <t>Mersea Museum celebrated its 40th anniversary in 2016.</t>
  </si>
  <si>
    <t>Not available</t>
  </si>
  <si>
    <t>website is unable to capture this data</t>
  </si>
  <si>
    <t>Training courses, excllent.  SHARE meetings and forums, very useful.</t>
  </si>
  <si>
    <t>Ongoing projects to develop a better 'virtual' museum website and planning for the potential move of the museum off the base.</t>
  </si>
  <si>
    <t>More school nvisits</t>
  </si>
  <si>
    <t>Closed early in September 2016 due to shortage of Voluntees</t>
  </si>
  <si>
    <t>Book promotion</t>
  </si>
  <si>
    <t>127,366 Figure covers all visits to Faculty of Classics website</t>
  </si>
  <si>
    <t>One of our volunteers, Michael Loy, was recognised with SHARE’s Outstanding Young Volunteer Award.</t>
  </si>
  <si>
    <t>5860 Twitter followers</t>
  </si>
  <si>
    <t>0 - Mid Suffolk DC run the shop. We receive a profit share which was c.£1500</t>
  </si>
  <si>
    <t>Very useful - it's a fantastic scheme</t>
  </si>
  <si>
    <t>We have received great support from the Museum Development Programme through training sessions, 1 to 1 consultations and guidance on specific issues. Our plan is continuing working with SHARE to improve the Museum of Power and provide input to their best practices.</t>
  </si>
  <si>
    <t>• Retention of Museum Accreditation • Award of Arts Council England Museum Resilience Grant and Trustee Board ensuring Museum is striving positively forward. • Winner of SHARE Working Together Award and Highly Recommended for our Young Volunteer of the Year. • Retention of strong volunteer force.</t>
  </si>
  <si>
    <t>Combined with retail income</t>
  </si>
  <si>
    <t>No real change</t>
  </si>
  <si>
    <t>Around 1,000 not long been present</t>
  </si>
  <si>
    <t>Excellent, continue to participate in trustee musters, volunteer coordinator forums and others as appropriate</t>
  </si>
  <si>
    <t>Closed for redevelopment</t>
  </si>
  <si>
    <t>I will send this next week - no-one is around who can tell me.</t>
  </si>
  <si>
    <t>644 (2016/7)</t>
  </si>
  <si>
    <t>We are extremely grateful to SHARE for its support to museums in the region, most particularly its excellent training programme. Keep up the good work!</t>
  </si>
  <si>
    <t xml:space="preserve">Last year was 100 years </t>
  </si>
  <si>
    <t>1,970 [Twitter]</t>
  </si>
  <si>
    <t>Thanks to our legacy, we have refurbished and re-equipped our Museum store/office with state-of-the-art shelving, storage and display units.</t>
  </si>
  <si>
    <t>Facebook 3,350 Likes  Twitter 4,184 Followers</t>
  </si>
  <si>
    <t>cannot calculate seperate local authority funding</t>
  </si>
  <si>
    <t>The Leedsichthys Project</t>
  </si>
  <si>
    <t>we have taken part in some very good training sessions - plan to use further for advice</t>
  </si>
  <si>
    <t>We have been working on an extension to the Museum and although not yet complete is a very exciting project to aid sustainability in the future</t>
  </si>
  <si>
    <t xml:space="preserve">non that is apparent apart from down turn in economy and pressure on family budgets - anecdotal </t>
  </si>
  <si>
    <t>700 facebook</t>
  </si>
  <si>
    <t>unkown</t>
  </si>
  <si>
    <t>very helpful</t>
  </si>
  <si>
    <t>new visitor attractions have been added</t>
  </si>
  <si>
    <t>Weather, Loss of some events, increased local competition</t>
  </si>
  <si>
    <t>facebook 621,  Twitter 246</t>
  </si>
  <si>
    <t>5500 @ 1 event</t>
  </si>
  <si>
    <t>Included above</t>
  </si>
  <si>
    <t>The AIM Conservation grant obtained in May 2016 for a Conservator is ongoing following the receipt of the report</t>
  </si>
  <si>
    <t>Bespoke doors have been built for our agricultural tractor shed to conserve artefacts</t>
  </si>
  <si>
    <t>Closed for 5 months due to internal and external work to cure damp</t>
  </si>
  <si>
    <t>Not applicable</t>
  </si>
  <si>
    <t>A few</t>
  </si>
  <si>
    <t>Meetings are too far away and we would welcome more local support.  The only experience I have had with SHARE was the Community Cabinet grant for which we were awarded funds.  The cabinet has been a great success and is currently being used by the local Girl Guides for an exhibition celebrating their centenary.</t>
  </si>
  <si>
    <t>Representatives of the museum attend St. Albans District Council's Attractions Group which increases public awareness of our activities.  We are also excited to be included in the development of the new St Albans Museum and Gallery project from St. Albans Museums service. We have greatly increased outreach activities through talks to other organisations and contine to be involved in village events.  Currently we have a project to restore a door suuround from Redbourn House, demolished in the 1960s.</t>
  </si>
  <si>
    <t>438 friends on Facebook &amp; 769 followers on Twitter (as of 15/9/17)</t>
  </si>
  <si>
    <t>N/A - figures not available</t>
  </si>
  <si>
    <t>Not avaialbe - Tea Room rented out as a franchise</t>
  </si>
  <si>
    <t>Marketing &amp; Branding Training for Small Museums - very helpful. This has been used to formulate the vision and mission for the Heritage Centre.</t>
  </si>
  <si>
    <t>Securing a Forward Plan Grant to enable engagement of a consultnat and analysis of all the audience data since the Heritage Centre opened in 2013. Recruitment of a former member of the Curatorial Team at the London Transport Museum as Volunteer Collections Co-ordinator.Maintaining Trip Advisor Award of Excellence status for the third consecutive year and a high visitor rating (average of 4.5 out of 5) from visitor surveys.</t>
  </si>
  <si>
    <t>Early in 2016 we received an MDF learning grant of £400, volunteers have taken advantage of a course on Modes. SHARE is always pro-active in asking what would benefit our museum most and respond extremely positively to very specific and adhoc requests.</t>
  </si>
  <si>
    <t xml:space="preserve">closed for maintenance work Nov-Jan, change of staff (less events &amp; community focussed) </t>
  </si>
  <si>
    <t>Twitter 852 followers ; Facebook 347</t>
  </si>
  <si>
    <t>Yes, always helpful and efficient</t>
  </si>
  <si>
    <t>Schools visits have decreased because there has been no Learning Officer in post and we have lost our Schoolroom (separate building) for teaching space.</t>
  </si>
  <si>
    <t>2,450 (808 Facebook and 1,642 Twiiter at end of MArch 2017)</t>
  </si>
  <si>
    <t>SHARE Cohort on major funding applications was very useful and stimulating, about to be put to the test as we enter discussions with HLF on proposed applications</t>
  </si>
  <si>
    <t>New purpose-built store now operational, social media and related on-line presence continues to build (see our Objetc of the the month on-line and in the gallery), and just keeping regular services running with so few permanent staff</t>
  </si>
  <si>
    <t>new displays</t>
  </si>
  <si>
    <t>not known</t>
  </si>
  <si>
    <t>Twitter 450 +  Facebook 200+</t>
  </si>
  <si>
    <t>N/N</t>
  </si>
  <si>
    <t>As of March 2017, facebook: 1107 likes, twitter: 4478 followers, Instagram: 1211</t>
  </si>
  <si>
    <t>SHARE training has been really valuable for staff at all levels of our organisation. Some staff are involved in regional networks and attend regular meetings. We have hosted SHARE training courses at our museum.</t>
  </si>
  <si>
    <t xml:space="preserve">Open daily 9am to 5pm   </t>
  </si>
  <si>
    <t>40 schools visits</t>
  </si>
  <si>
    <t>The support received through Share Museums East in training and support has been excellent</t>
  </si>
  <si>
    <t>Museum Accreditation awarded March 2016</t>
  </si>
  <si>
    <t xml:space="preserve">Temporary gallery still closed until the end of September and repairs ongoing in galleries followign major flood in July 2015, plus staff redirected to work on flood recovery rather than visitor maximisation. </t>
  </si>
  <si>
    <t>sorry, not available</t>
  </si>
  <si>
    <t>We re-opened following the flood of July 2015 in March 2016, but without our temporary gallery space. We managed to process our collections back on site through the summer of 2016 and commissioned new cases for the temporary gallery so that we could re-open in time for the 70th anniversya rof the new town in November 2016, which we celebrated with an exhibition called Maps and Maybe Maps: visions from the drawing board. This was followed by an exhibiton celebrating the life and art of Edward Gordon Craig, funded by the HLF and using a model of workign with young and old volunteers that pushed us to produce an exhibition that met standards of an organisaiton with much greater resources, with loans from the V&amp;A and Eton College, the feedback was very positive, including one comment , that the exhibition was "of international standard".</t>
  </si>
  <si>
    <t>Twitter 3244 Facebook 1198</t>
  </si>
  <si>
    <t xml:space="preserve">New permanent exhibition, longer opening hours, relaunch of catering </t>
  </si>
  <si>
    <t>Trustees have attended Succession Training and received consultancy help in writing a new Forward Plan for 2018-22. Both have proved useful and timely for making future plans. The Archivist has attended Modes training to help her keep update with new accreditation standards.</t>
  </si>
  <si>
    <t>The Museum  regained accrediation in November 2016. The Museum has held a joint display with RAF Marham to celebrate their centenary and Swaffham's part in the Falkland Crisis. The Musem Manager has been appointed to the board of Museums Norfolk and is contributing to a county project on migration.</t>
  </si>
  <si>
    <t>Always supportive</t>
  </si>
  <si>
    <t>Please note that the way we count unique visitors to our website (below) has changed, and this has reduced the number reported</t>
  </si>
  <si>
    <t>We have received and delivered a range of SHARE Museums training and support this year.  The experience, as always, has been excellent, and we remain a committed partner in delivering the SHARE programme, particularly in relation to Front of House, Security, Conservation and Collections Care, and SSNs in a number of areas.  We also deliver SHARE Museum Development outcomes in Cambrisdeshire through our Regional Conservator.</t>
  </si>
  <si>
    <t>The Museum celebrated its Bicentenary in 2016 with two major exhibitions, Colour and Death on the Nile, and a number of significant acquisitions, including the Castle Howard cabinets.  We were also successful in our bid for renewed HEFCE museum funding and for Arts Council NPO funding from 1 April 2018.  We have progressed work on a Masterplan for the Museum with University Estates and architects MUMA.</t>
  </si>
  <si>
    <t>invaluable, keep attending the training sessions.</t>
  </si>
  <si>
    <t>13% increase on previous year - driven by additional programming</t>
  </si>
  <si>
    <t>SEE BELOW</t>
  </si>
  <si>
    <t>The Museum opening is dependant on Framlingham Castle which was closed fromO)ct 2106 to April 2017</t>
  </si>
  <si>
    <t>No - weather related fluctuations and the position of the Easter break</t>
  </si>
  <si>
    <t>c£10K</t>
  </si>
  <si>
    <t>c£7.5K</t>
  </si>
  <si>
    <t>within DCMS grant in aid for NHM South Kensington</t>
  </si>
  <si>
    <t>participated in mystery shopper scheme, staff have attended training events</t>
  </si>
  <si>
    <t>closed for redevelopment Jan 2016 to August 2017</t>
  </si>
  <si>
    <t>redevelopment</t>
  </si>
  <si>
    <t>we have received a SHARE Ready to Borrow grant</t>
  </si>
  <si>
    <t>the museum redevelopment</t>
  </si>
  <si>
    <t>Unknown (part or a University Department website)</t>
  </si>
  <si>
    <t>Facebook: 2433, Twitter: 5861 (joint with University Department), Instagram: 287 (joint with University Department)</t>
  </si>
  <si>
    <t>We find that our MDOs are extremely useful and vital to our future. Attending their regular meetings, having access to their newsletters and county-wide events have been invaluable in growing our audience base.</t>
  </si>
  <si>
    <t xml:space="preserve">From July - December 2016 we programmed more events which increased engagement. In 2017 we opened the site earlier in February for our new exhibition ‘Queer Talk: Homosexuality in Britten’s Britain’. </t>
  </si>
  <si>
    <t>Facebook, Twitter</t>
  </si>
  <si>
    <t>IWM Duxford prices</t>
  </si>
  <si>
    <t>"</t>
  </si>
  <si>
    <t>AMOT grant, around £1,500, MOD grant in aid for Curator's salary</t>
  </si>
  <si>
    <t>Every Thursday and other sporadic days</t>
  </si>
  <si>
    <t>Have had help with Accreditation from Ruth Burwood. I found it very useful to have this contact within SHARE.</t>
  </si>
  <si>
    <t xml:space="preserve">Curator appeared on BBC Radio Cambridgeshire to talk about the letters of a pte soldier from the First World War. </t>
  </si>
  <si>
    <t>Tracking engagement with hertiage offer by the number of heritage trails used over year</t>
  </si>
  <si>
    <t>SHARE Museums East resources and training are invaluable in supporting a small Heritage Service such as ours.</t>
  </si>
  <si>
    <t>We ran a fantastic Somme100 project called Roland Philipps: Scouter, Soldier, Somme in conjunction with The Fusilier Museum, London.  An opportunity for us to work in partnership to increase access to the Collection and raise the profile of the Heritage Service as well as engage user in an important and emotional story of one mans continuing legacy to Scouting.  We have some fantastic photographs of the project if you ever want to use them.</t>
  </si>
  <si>
    <t>Building works have impacted on some visits early in the year and were resolved by the summer exhibition opening which brought a significant boost to visitor numbers, doubling them in July and August.</t>
  </si>
  <si>
    <t>The Share network is an invaluable support network, it fulfills the needs of us as an independent museum and goes further by giving us the opportuinities through training courses and resources to become the best we can achieve in our field. It allows us to find and implement best practice solution.</t>
  </si>
  <si>
    <t>Assisting the museum with advice and a grant so that a full governance review consultant could be employed who has flagged up improvements in our ways of working, among oter things.</t>
  </si>
  <si>
    <t>Very constructive - advice on accreditation and a day of talks on digital museum practice</t>
  </si>
  <si>
    <t xml:space="preserve">The Vernacular Furniture of North-Westt India project continues. Phase one in Gujarat in going to press. The fieldwork for phase two in Rjasthan has been completed. SADACC has run and contributed to a number of research projects both in India and the UK, including collaborations with CEPT University, Ahmedabad, and the Sanskriti Foundation Hazaribagh. This research has won scholarship funding from a number of external sources, a measure of its value. SADACC has run a number of events, talks and outreach sessions in Norwich and given talks on the collection at institutions in India and the UK. The project to digitize the archive continues. SADACC has hosted a number of visiting scholars. </t>
  </si>
  <si>
    <t>£7,000 (from private trusts)</t>
  </si>
  <si>
    <t>SHARE Museums East has always been extremely helpful with training, guidance as well as funding projects. We are currently involved in Rationalisation of the Museum's collections which should be completed within the next few months.</t>
  </si>
  <si>
    <t>Ware Museum is surviving thanks to the dedication and hard work of all those involved who work as volunteers.</t>
  </si>
  <si>
    <t>We have had some training days which continue to develop our aims and ability to rn the Museum</t>
  </si>
  <si>
    <t>Some of the staff attended some training courses aimed at Accreditation, which we found really helpful and informative. Based on the information learned, we now feel more equipped to continue with our Accreditation application.</t>
  </si>
  <si>
    <t>we cannot measure it at the moment but website will be replaced by October 2017</t>
  </si>
  <si>
    <t>encouragement and ideas through attending networking events</t>
  </si>
  <si>
    <t>12,466 (8,330 (Facebook) + 4,136 (Twitter))</t>
  </si>
  <si>
    <t>276 (All)</t>
  </si>
  <si>
    <t>5051 (All)</t>
  </si>
  <si>
    <t>The Museum of Archaeology and Anthropology benefits from training courses run by SHARE and will hopefully continue to use this valuable resource.</t>
  </si>
  <si>
    <t>Our very successful major temporary exhibition "Hide and Seek: Looking for Children in the Past" closed in January 2017 and was followed by "Another India: Explorations and Expressions of Indigenous South Asia" which opened in March 2017 and has been very well received. The Museum's very busy ongoing programme of national and international loans continues.</t>
  </si>
  <si>
    <t>Not captured</t>
  </si>
  <si>
    <t>We had a problem recording the informstion through our till system which has broken.</t>
  </si>
  <si>
    <t>Our staff and volunteers have been on a number of SHARE courses this year and have been actively using the skills learned in the Museum.  We intend on attending a number of other courses this year.</t>
  </si>
  <si>
    <t>We received first stage funding from the Heritage Lottery Fund for a 2.2million redevelopment of the Museum.</t>
  </si>
  <si>
    <t>Increase in school numbers</t>
  </si>
  <si>
    <t>N/K</t>
  </si>
  <si>
    <t>~300</t>
  </si>
  <si>
    <t>525 + 2061 + 154 + 65 = 2805</t>
  </si>
  <si>
    <t>training for volunteers, via email</t>
  </si>
  <si>
    <t>Increased publically accessible area of museum by approx 1/4 by redevelopment/redisplay of outbuildings and yard.</t>
  </si>
  <si>
    <t>We've participated in the Fundraising Cohort Training which provided lots of support, fresh ideas and sharing of experiences with other museum staff and volunteers.</t>
  </si>
  <si>
    <t xml:space="preserve">We are currently undertaking a HLF funded Resilience project which is providing great insight into possible ways to increase the Museum's financial sustainability. The project has appeared to open doors (fingers crossed) to  significant capital projects in the short to medium term which will be key to securing the future of the Museum. </t>
  </si>
  <si>
    <t>No Woburn Festival in 2016 so numbers down by approx. 400</t>
  </si>
  <si>
    <t>Ann Ledger, our volunteer who looks after schools, attended a very useful session</t>
  </si>
  <si>
    <t>Having mapped and indexed the graves in the churchyard next to our building, we have now included all that information on our website</t>
  </si>
  <si>
    <t>Not available in 2016</t>
  </si>
  <si>
    <t>Unkown for 2016</t>
  </si>
  <si>
    <t>2016 = £3.637.00</t>
  </si>
  <si>
    <t>No known</t>
  </si>
  <si>
    <t>33/35 per week</t>
  </si>
  <si>
    <t>4 hours each per week</t>
  </si>
  <si>
    <t xml:space="preserve">Useful info from Wayne Kett - Museum mentor </t>
  </si>
  <si>
    <t xml:space="preserve">At present, finding anwering long surveys difficult as collecting info is not aways readily available. We are vuoluntary staffed as such we find it difficult to find time for this sort of info that is required. However, we are trying to improve, so hope you can understand. </t>
  </si>
  <si>
    <t>Red House, Aldeburgh</t>
  </si>
  <si>
    <t>T370</t>
  </si>
  <si>
    <t>T380</t>
  </si>
  <si>
    <t>T414</t>
  </si>
  <si>
    <t>T189</t>
  </si>
  <si>
    <t>The Muckleburgh military Collection</t>
  </si>
  <si>
    <t>The Munnings Art Museum</t>
  </si>
  <si>
    <t>Small</t>
  </si>
  <si>
    <t>Medium</t>
  </si>
  <si>
    <t>Large</t>
  </si>
  <si>
    <t>X large</t>
  </si>
  <si>
    <t>519</t>
  </si>
  <si>
    <t>extra days open in holidays</t>
  </si>
  <si>
    <t>shared with Mill Green Mil and museum</t>
  </si>
  <si>
    <t>Part of Welwyn Hatfield Museum Service and share the views on the survey for Mill Green Mill and Museum</t>
  </si>
  <si>
    <t>318</t>
  </si>
  <si>
    <t>Such a supportive organisation on so many levels. Always approachable and knowledgeable. Great for networking</t>
  </si>
  <si>
    <t>Successfully working with the University of Hertfdordshire on a utility company grant funded exhibition . solid relationship for future collaboraive work.</t>
  </si>
  <si>
    <t>2534</t>
  </si>
  <si>
    <t>1500</t>
  </si>
  <si>
    <t>2 members of staff were part of the SHARE Retail Resilience programme. The training was useful but one more place would have been helpful, due to being a joint service.</t>
  </si>
  <si>
    <t>"CIMS Art's Council- funded project, The Training Museum was shortlisted for the Creative and Cultural Skills Heritage Award in March 2017. The award recognised the work our team have been doing to enable more people to get involved with museums through volunteering, traineeships and working with schools.  The Colchester Castle guide book won the Arts and Cultural Enterprises Annual Award for Best Guidebook.  In March 2017, CIMSprogressed to the second round of Skills for the Future funding with HLF.  In September 2016, CIMS hosted the two-day national conference, Transforming People to Transform Museums. Keynotes were delivered by John Orna Ornstein and Hedley Swain from the Arts Council, with presenters including researchers, artists and representatives from organisations such as The British Museum, Firstsite, Kensington Palace, the Kent and Medway Museums Partnership, Kettle's yard, the Museum of London, National Museums Wales, New Wolsey Theatre, Norfolk Museums Service, the Pitt Rivers Museum, the RNIB and the Royal Pavilion and Museums, Brighton."</t>
  </si>
  <si>
    <t>2170</t>
  </si>
  <si>
    <t>2163</t>
  </si>
  <si>
    <t>1494</t>
  </si>
  <si>
    <t>SHARE Museums East continues to be an invaluable resource from the Newsletter; training; grants; networking and advice including support through the MDO. We have built this experience into our forward planning and continuing professional development of staff and volunteers.</t>
  </si>
  <si>
    <t>2469</t>
  </si>
  <si>
    <t>Aspire exhibition boosted numbers 2015-16 and major roof works 2016-17 affected visit no's</t>
  </si>
  <si>
    <t>2242</t>
  </si>
  <si>
    <t>not available</t>
  </si>
  <si>
    <t>1560</t>
  </si>
  <si>
    <t>522</t>
  </si>
  <si>
    <t>2178</t>
  </si>
  <si>
    <t>No change</t>
  </si>
  <si>
    <t>Twitter - 4089, Facebook - 2336</t>
  </si>
  <si>
    <t>1152</t>
  </si>
  <si>
    <t>Twitter - 895, Facebook - 456</t>
  </si>
  <si>
    <t>480</t>
  </si>
  <si>
    <t>Twitter - 906, Facebook - 591</t>
  </si>
  <si>
    <t>1909</t>
  </si>
  <si>
    <t>2537 as of 31.8.2017</t>
  </si>
  <si>
    <t>1682</t>
  </si>
  <si>
    <t>9349 as of 31.8.2017</t>
  </si>
  <si>
    <t>1368</t>
  </si>
  <si>
    <t>Twitter - 3418, Facebook - 1161</t>
  </si>
  <si>
    <t>1672</t>
  </si>
  <si>
    <t>3100 as of 31.8.2017</t>
  </si>
  <si>
    <t>1792</t>
  </si>
  <si>
    <t>negligible</t>
  </si>
  <si>
    <t>£195K excluding restricted funding</t>
  </si>
  <si>
    <t xml:space="preserve">£200K excluding restricted expenditure            </t>
  </si>
  <si>
    <t>We have received Dementia Friends training which we can put towards our day to day work as well as our new reminiscence scheme</t>
  </si>
  <si>
    <t>1266</t>
  </si>
  <si>
    <t>We were closed for about a month on decoration, but numbers were down a bit.</t>
  </si>
  <si>
    <t>It was incredibly beneficial and we will endeavour to attend more workshops.</t>
  </si>
  <si>
    <t>The Museum has had a successful Appeal Fund.</t>
  </si>
  <si>
    <t>1200</t>
  </si>
  <si>
    <t>Mis-calculation of opening hrs last year!</t>
  </si>
  <si>
    <t>sadly our provider 'lost' our old website so all info lost, new one now</t>
  </si>
  <si>
    <t xml:space="preserve">twiiter 926, facebook 827, instagram not sure </t>
  </si>
  <si>
    <t xml:space="preserve">Attending workshops is always inspiring and very helpful </t>
  </si>
  <si>
    <t>St Neots Town Council have increased our annual grant by 25% enabling us to increase the hours of our Learning &amp; Access Officer from 2 to 4 days per week</t>
  </si>
  <si>
    <t>1386</t>
  </si>
  <si>
    <t>no record</t>
  </si>
  <si>
    <t>included in above</t>
  </si>
  <si>
    <t>We always find the SHARE team helpful either in giving individual advice or in offering courses.  They put me in touch with a consultant and advised on separate issues.</t>
  </si>
  <si>
    <t>We ran 4 Art Activity Workshops during August 2017 which were very popular.  We were filmed as part of the Great Canal Journeys programme on Norfolk and benefitted from much media attention in 2017.</t>
  </si>
  <si>
    <t>258</t>
  </si>
  <si>
    <t>SHARE Museums East continues to be an invaluable resource from the Newsletter; training; grants; networking and advice including support through the MDO. We have built this experience into our forward planning and continuing professional development of staff and volunteers</t>
  </si>
  <si>
    <t>Twitter-179 facebook-560</t>
  </si>
  <si>
    <t>Increased our Volunteer base and introduced a Volunteer Development Programme. Recruited Aerospace undergraduates from France as Volunteer Interns during the summer. Started a Junior Volunteer Scheme. Used our own reserves to complete Foundation work for New Hangar. Increase the Museum’s footprint by acquiring the lease of adjacent land to facilitate the building of a temporary hangar and the repositioning of several aircraft. Held our first Volunteer Conference in November 2016.</t>
  </si>
  <si>
    <t>672</t>
  </si>
  <si>
    <t>No stats available</t>
  </si>
  <si>
    <t>approx 1000</t>
  </si>
  <si>
    <t>Ongoing support and training opportunities via share and MDO's have been excellent.</t>
  </si>
  <si>
    <t>No cafe</t>
  </si>
  <si>
    <t>4,473</t>
  </si>
  <si>
    <t>Closed for redevelopment (June, July &amp; August 2016) - new museum from Sep'16</t>
  </si>
  <si>
    <t>SHARE has always provided excellent support to the museum and we continue to support it both by contributing to cohort support groups and by providing space for meetings and training course run by SHARE free of hire charges.</t>
  </si>
  <si>
    <t>The most important success has been our recent short-listing as a finalist in the 2017 Art Fund Museum of the Year prize</t>
  </si>
  <si>
    <t>Open all year</t>
  </si>
  <si>
    <t>Closed for part of the year - regular seasonal closure</t>
  </si>
  <si>
    <t>Closed for part of the year other - e.g. refurbishment/ repairs</t>
  </si>
  <si>
    <t>Open by appointment only - all year</t>
  </si>
  <si>
    <t>Closed all of the year - e.g. redevelopment</t>
  </si>
  <si>
    <t>Percentage change</t>
  </si>
  <si>
    <t>Adult adjusted visits</t>
  </si>
  <si>
    <t>Local visitor impact</t>
  </si>
  <si>
    <t>Day visitor impact</t>
  </si>
  <si>
    <t>Total of income sources</t>
  </si>
  <si>
    <t>Southend Central</t>
  </si>
  <si>
    <t>Ipswich Museum</t>
  </si>
  <si>
    <t>Castle Museum &amp; Art Gallery</t>
  </si>
  <si>
    <t>IWM Group</t>
  </si>
  <si>
    <t>Total earned income</t>
  </si>
  <si>
    <t>X Large</t>
  </si>
  <si>
    <t>Size 2015/16</t>
  </si>
  <si>
    <t>Size 2016-17</t>
  </si>
  <si>
    <t>X</t>
  </si>
  <si>
    <t>See Wardown Park</t>
  </si>
  <si>
    <t>Every Thursday, plus other odd days</t>
  </si>
  <si>
    <t>From main site's response</t>
  </si>
  <si>
    <t>see main form</t>
  </si>
  <si>
    <t>n/a (most posts are centralised and staff work across the IWM group) 450 staff employed at IWM</t>
  </si>
  <si>
    <t>unavailable</t>
  </si>
  <si>
    <t>16-17 Does your museum charge for admission?</t>
  </si>
  <si>
    <t>closed for redevelopment</t>
  </si>
  <si>
    <t>Museum of Norwich at the Bridewell (Norfol Museum Service)</t>
  </si>
  <si>
    <t>Bedfordshire</t>
  </si>
  <si>
    <t>Response rate</t>
  </si>
  <si>
    <t>Visits</t>
  </si>
  <si>
    <t>Visitor impacts</t>
  </si>
  <si>
    <t>Combined visitor and spend impacts</t>
  </si>
  <si>
    <t>Accredited or Working Towards Museums</t>
  </si>
  <si>
    <t>Direct, indirect and induced impacts of spend on goods and services</t>
  </si>
  <si>
    <t>Direct, indirect and induced employment impacts</t>
  </si>
  <si>
    <t>Cambridgeshire</t>
  </si>
  <si>
    <t>Responded 2016/17</t>
  </si>
  <si>
    <t>Total</t>
  </si>
  <si>
    <t>Hertfordshire</t>
  </si>
  <si>
    <t>509</t>
  </si>
  <si>
    <t>0</t>
  </si>
  <si>
    <t>Purchased 5 acres of additional freehold land to extend the museum.</t>
  </si>
  <si>
    <t>medium</t>
  </si>
  <si>
    <t>Does your museum have its own website?</t>
  </si>
  <si>
    <t>Free</t>
  </si>
  <si>
    <t>Q29.2. Retail income</t>
  </si>
  <si>
    <t>Q29.3. café/ refreshments income</t>
  </si>
  <si>
    <t>Q29.5. Regular public subsidy/ grant (e.g. core funding from local authority, Higher Education, DCMS, MODF  or other regular core funding)</t>
  </si>
  <si>
    <t>Q29.7. Other contributed income (e.g. any money receive through Friends including friends/member schemes, any sponsorship, income from corporate membership schemes or other non-earned income)</t>
  </si>
  <si>
    <t>residue of HLF grant from 2013/4</t>
  </si>
  <si>
    <t>included above</t>
  </si>
  <si>
    <t>£N/A</t>
  </si>
  <si>
    <t>No info on Word doc</t>
  </si>
  <si>
    <t>We receive a pot of funding from Luton Borough Council that is not broken down into specific services</t>
  </si>
  <si>
    <t>Small element included in above, and not all relating to projects in 2015-16</t>
  </si>
  <si>
    <t xml:space="preserve">Unknown </t>
  </si>
  <si>
    <t>Museum receives council funding via amount given to trust exact amount to museum unknown</t>
  </si>
  <si>
    <t>0 (goes to Friends)</t>
  </si>
  <si>
    <t>0 goes to Friends</t>
  </si>
  <si>
    <t>Unknown (contributions from Friends for various projects but total figure for the year unknown at time of writing</t>
  </si>
  <si>
    <t>Already included</t>
  </si>
  <si>
    <t>info missing from Word doc</t>
  </si>
  <si>
    <t>£56,179,000 (IWM group)</t>
  </si>
  <si>
    <t>£56,411,000 (IWM group)</t>
  </si>
  <si>
    <t>£17,633,000 (IWM group)</t>
  </si>
  <si>
    <t>Higgins</t>
  </si>
  <si>
    <t>Q29.2. retail income</t>
  </si>
  <si>
    <t>Museum size</t>
  </si>
  <si>
    <t>Q12. Do you have a website over which you have editorial control?</t>
  </si>
  <si>
    <t>Q21.1. How many other sessions and events did your museum deliver on-site? (With non-education providers e.g. Brownies/local Arts Organisation or self led, such as research work. It can include any workshops, seminars, talks, lectures and individual research sessions</t>
  </si>
  <si>
    <t>Q23.1. How many other activities and outreach events did your museum deliver off-site? (With non-education providers e.g. the Brownies/a local Arts Organisation. It can include any workshops, seminars, talks, lectures etc)</t>
  </si>
  <si>
    <t>Q27.1. Adult entrance fee</t>
  </si>
  <si>
    <t>Q27.2. Child entrance fee</t>
  </si>
  <si>
    <t>Q28.1. Shop / retail space?</t>
  </si>
  <si>
    <t>SHARE and HLF have contributed to our continued growth and in particular the Development Plans produced for our Round 2 submission in respect of our New Hangar HLF Application has had a profound impact on our Marketing, Development and sustainability strategy.</t>
  </si>
  <si>
    <t>Opening of the Peter Thompson Educational Centre, half devoted to Braintree and Halstead Model Railway Club, the other half to new staff facilities and lecture rooms. Constructed using well over 3,500 hours of volunteer labour. also responsible fort the construction of a children's playground.</t>
  </si>
  <si>
    <t>The new North Hertfordshire Museum is inching closer to opening, but we are still unable to use our front door or lift and main staircase. Nevertheless, we are now giving pre-booked guided tours of two main galleries, which are extremely popular. In October we will be opening the ground floor of the museum, and our temporary exhibition gallery.</t>
  </si>
  <si>
    <t>Ruth Burwood was really helpful in advising on resubmission of the museum Accrediation return and whether we should include Flag Fen as part of that.</t>
  </si>
  <si>
    <t>We received £1000 for Forward Planning and used it to hold consultation events with a consultant and an online survey. The resulting forward plan was produced in early 2017 and fed in to our recent (July 2017) accreditation application</t>
  </si>
  <si>
    <t>Total economic impacts</t>
  </si>
  <si>
    <t>AIM induced employment impact calculation (FTE posts)</t>
  </si>
  <si>
    <t>AIM total employment impact (direct and induced FTE posts)</t>
  </si>
  <si>
    <t>Direct, indirect and induced economic impact of expenditure</t>
  </si>
  <si>
    <t>Value of volunteer hours</t>
  </si>
  <si>
    <t>Q37.1. Total head count of staff employed including seasonal / casual staff (at its peak in the year)</t>
  </si>
  <si>
    <t>Hitchin Museum &amp; Art Gallery (North Herts Museums Service)</t>
  </si>
  <si>
    <t>Responded 2016-17</t>
  </si>
  <si>
    <t>Q4. How many hours was your museum open to the public in 2016-17?</t>
  </si>
  <si>
    <t>Q5. Total number of visits in person in 2016-17</t>
  </si>
  <si>
    <t>Q35.2. How many hours did volunteers contribute in 2016-17?</t>
  </si>
  <si>
    <t>Visitors 2013-14</t>
  </si>
  <si>
    <t>Volunteer hours 2013-14</t>
  </si>
  <si>
    <t>Visitors 2008-09</t>
  </si>
  <si>
    <t>Visitors 2009-10</t>
  </si>
  <si>
    <t>Visitors 2010-11</t>
  </si>
  <si>
    <t>Visitors 2011-12</t>
  </si>
  <si>
    <t>Visitors 2012-13</t>
  </si>
  <si>
    <t>Visitors 2015-16</t>
  </si>
  <si>
    <t>Average visitors across 2015-16 &amp; 2016-17</t>
  </si>
  <si>
    <t>Number of volunteers 2015-16</t>
  </si>
  <si>
    <t>Volunteer hours 2015-16</t>
  </si>
  <si>
    <t>Number of paid staff 2015-16</t>
  </si>
  <si>
    <t>Full-time Equivalent paid staff 2015-16</t>
  </si>
  <si>
    <t>Q16.1. How many education sessions did your museum deliver on-site? (With formal education providers)</t>
  </si>
  <si>
    <t>Q18.1. How many education sessions did your museum deliver off-site with formal education providers? (Include all sessions even those delivered without museum staff e.g. loan boxes)</t>
  </si>
  <si>
    <t>Q27. 16-17 Does your museum charge for admission?</t>
  </si>
  <si>
    <t>Accreditation Number (Jun 2017)</t>
  </si>
  <si>
    <t>Accreditation Status (Jun 2017)</t>
  </si>
  <si>
    <t>Q34. In the last 12 months, has your museum raised funds via online giving / crowdfunding? (e.g. Just Giving, Kickstarter, etc)</t>
  </si>
  <si>
    <t>Q28.2. In house café / refreshments</t>
  </si>
  <si>
    <t>Q28.3. Contracted out café / refreshments</t>
  </si>
  <si>
    <t>Museum details</t>
  </si>
  <si>
    <t>Q3.1. Museum opening arrangements</t>
  </si>
  <si>
    <t>Website and social media</t>
  </si>
  <si>
    <t>Education sessions and events</t>
  </si>
  <si>
    <t>Admissions charges</t>
  </si>
  <si>
    <t>Staff and volunteers</t>
  </si>
  <si>
    <t>Comments</t>
  </si>
  <si>
    <t>Economic impacts</t>
  </si>
  <si>
    <t>Fundraising</t>
  </si>
  <si>
    <t>No. of volunteers 2013-14</t>
  </si>
  <si>
    <t>Q35.1. Number of volunteers at the  museum (incl. Trustees) in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</si>
</sst>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164" formatCode="&quot;£&quot;#,##0_);[Red]\(&quot;£&quot;#,##0\)"/>
    <numFmt numFmtId="165" formatCode="&quot;£&quot;#,##0.00_);[Red]\(&quot;£&quot;#,##0.00\)"/>
    <numFmt numFmtId="166" formatCode="&quot;£&quot;#,##0"/>
    <numFmt numFmtId="167" formatCode="&quot;£&quot;#,##0.00"/>
    <numFmt numFmtId="168" formatCode="0.0"/>
  </numFmts>
  <fonts count="35" x14ac:knownFonts="1">
    <font>
      <sz val="11"/>
      <color theme="1"/>
      <name val="Calibri"/>
      <family val="2"/>
      <scheme val="minor"/>
    </font>
    <font>
      <sz val="10"/>
      <color indexed="8"/>
      <name val="Arial"/>
      <family val="2"/>
    </font>
    <font>
      <sz val="11"/>
      <name val="Calibri"/>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2"/>
      <name val="Arial"/>
      <family val="2"/>
    </font>
    <font>
      <b/>
      <sz val="12"/>
      <name val="Arial"/>
      <family val="2"/>
    </font>
    <font>
      <sz val="11"/>
      <color rgb="FF000000"/>
      <name val="Arial"/>
      <family val="2"/>
    </font>
    <font>
      <b/>
      <sz val="9"/>
      <color indexed="81"/>
      <name val="Tahoma"/>
      <family val="2"/>
    </font>
    <font>
      <sz val="9"/>
      <color indexed="81"/>
      <name val="Tahoma"/>
      <family val="2"/>
    </font>
    <font>
      <b/>
      <sz val="10"/>
      <color indexed="81"/>
      <name val="Calibri"/>
      <family val="2"/>
    </font>
    <font>
      <sz val="10"/>
      <color indexed="81"/>
      <name val="Calibri"/>
      <family val="2"/>
    </font>
    <font>
      <u/>
      <sz val="11"/>
      <color theme="11"/>
      <name val="Calibri"/>
      <family val="2"/>
      <scheme val="minor"/>
    </font>
    <font>
      <b/>
      <sz val="11"/>
      <color rgb="FF000000"/>
      <name val="Calibri"/>
      <family val="2"/>
      <scheme val="minor"/>
    </font>
    <font>
      <b/>
      <sz val="12"/>
      <color theme="1"/>
      <name val="Calibri"/>
      <family val="2"/>
      <scheme val="minor"/>
    </font>
    <font>
      <b/>
      <sz val="12"/>
      <name val="Calibri"/>
      <family val="2"/>
      <scheme val="minor"/>
    </font>
    <font>
      <b/>
      <sz val="12"/>
      <color theme="0"/>
      <name val="Calibri"/>
      <family val="2"/>
      <scheme val="minor"/>
    </font>
    <font>
      <sz val="12"/>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FFFF00"/>
        <bgColor indexed="64"/>
      </patternFill>
    </fill>
    <fill>
      <patternFill patternType="solid">
        <fgColor theme="8" tint="0.79998168889431442"/>
        <bgColor theme="8" tint="0.79998168889431442"/>
      </patternFill>
    </fill>
    <fill>
      <patternFill patternType="solid">
        <fgColor rgb="FFFF0000"/>
        <bgColor indexed="64"/>
      </patternFill>
    </fill>
    <fill>
      <patternFill patternType="solid">
        <fgColor theme="1" tint="0.34998626667073579"/>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C00000"/>
        <bgColor indexed="64"/>
      </patternFill>
    </fill>
    <fill>
      <patternFill patternType="solid">
        <fgColor rgb="FF0070C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auto="1"/>
      </bottom>
      <diagonal/>
    </border>
  </borders>
  <cellStyleXfs count="52">
    <xf numFmtId="0" fontId="0" fillId="0" borderId="0"/>
    <xf numFmtId="0" fontId="1" fillId="0" borderId="0"/>
    <xf numFmtId="0" fontId="2"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41">
    <xf numFmtId="0" fontId="0" fillId="0" borderId="0" xfId="0"/>
    <xf numFmtId="0" fontId="0" fillId="0" borderId="1" xfId="0" applyNumberFormat="1" applyFont="1" applyBorder="1"/>
    <xf numFmtId="0" fontId="19" fillId="33" borderId="1" xfId="0" applyNumberFormat="1" applyFont="1" applyFill="1" applyBorder="1"/>
    <xf numFmtId="0" fontId="21" fillId="33" borderId="1" xfId="0" applyFont="1" applyFill="1" applyBorder="1" applyAlignment="1">
      <alignment horizontal="left" vertical="top" wrapText="1"/>
    </xf>
    <xf numFmtId="0" fontId="19" fillId="33" borderId="1" xfId="0" applyFont="1" applyFill="1" applyBorder="1" applyAlignment="1">
      <alignment horizontal="left" vertical="top"/>
    </xf>
    <xf numFmtId="1"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xf numFmtId="0" fontId="3" fillId="0" borderId="1" xfId="0" applyFont="1" applyFill="1" applyBorder="1" applyAlignment="1">
      <alignment vertical="top" wrapText="1"/>
    </xf>
    <xf numFmtId="0" fontId="3" fillId="0" borderId="1" xfId="0" applyFont="1" applyFill="1" applyBorder="1" applyAlignment="1"/>
    <xf numFmtId="0" fontId="3" fillId="0" borderId="1" xfId="0" applyNumberFormat="1" applyFont="1" applyFill="1" applyBorder="1" applyAlignment="1">
      <alignment wrapText="1"/>
    </xf>
    <xf numFmtId="0" fontId="3" fillId="0" borderId="1" xfId="0" applyFont="1" applyFill="1" applyBorder="1" applyAlignment="1">
      <alignment wrapText="1"/>
    </xf>
    <xf numFmtId="0" fontId="3" fillId="0" borderId="1" xfId="1" applyFont="1" applyFill="1" applyBorder="1" applyAlignment="1">
      <alignment horizontal="left" wrapText="1"/>
    </xf>
    <xf numFmtId="0" fontId="0" fillId="34" borderId="1" xfId="0" applyNumberFormat="1" applyFont="1" applyFill="1" applyBorder="1"/>
    <xf numFmtId="0" fontId="3" fillId="0" borderId="1" xfId="2" applyNumberFormat="1" applyFont="1" applyBorder="1"/>
    <xf numFmtId="0" fontId="3" fillId="0" borderId="1" xfId="0" applyNumberFormat="1" applyFont="1" applyFill="1" applyBorder="1"/>
    <xf numFmtId="0" fontId="0" fillId="0" borderId="1" xfId="0" applyNumberFormat="1" applyFont="1" applyFill="1" applyBorder="1"/>
    <xf numFmtId="49" fontId="3" fillId="0" borderId="1" xfId="0" applyNumberFormat="1" applyFont="1" applyFill="1" applyBorder="1"/>
    <xf numFmtId="0" fontId="21" fillId="0" borderId="1" xfId="0" applyFont="1" applyFill="1" applyBorder="1" applyAlignment="1">
      <alignment vertical="top" wrapText="1"/>
    </xf>
    <xf numFmtId="0" fontId="0" fillId="0" borderId="1" xfId="0" applyFont="1" applyFill="1" applyBorder="1"/>
    <xf numFmtId="0" fontId="0" fillId="0" borderId="1" xfId="0" applyFont="1" applyBorder="1"/>
    <xf numFmtId="0" fontId="23" fillId="0" borderId="1" xfId="0" applyFont="1" applyBorder="1" applyAlignment="1">
      <alignment vertical="top" wrapText="1"/>
    </xf>
    <xf numFmtId="0" fontId="0" fillId="0" borderId="1" xfId="0" applyBorder="1"/>
    <xf numFmtId="0" fontId="3" fillId="0" borderId="1" xfId="1" applyFont="1" applyFill="1" applyBorder="1" applyAlignment="1">
      <alignment horizontal="left"/>
    </xf>
    <xf numFmtId="0" fontId="0" fillId="0" borderId="1" xfId="0" applyFont="1" applyFill="1" applyBorder="1" applyAlignment="1">
      <alignment vertical="center"/>
    </xf>
    <xf numFmtId="0" fontId="0" fillId="36" borderId="1" xfId="0" applyFont="1" applyFill="1" applyBorder="1"/>
    <xf numFmtId="0" fontId="24" fillId="0" borderId="1" xfId="0" applyFont="1" applyBorder="1" applyAlignment="1">
      <alignment wrapText="1"/>
    </xf>
    <xf numFmtId="0" fontId="22" fillId="35" borderId="1" xfId="0" applyFont="1" applyFill="1" applyBorder="1" applyAlignment="1">
      <alignment vertical="top" wrapText="1"/>
    </xf>
    <xf numFmtId="0" fontId="0" fillId="0" borderId="0" xfId="0" applyNumberFormat="1" applyFont="1"/>
    <xf numFmtId="0" fontId="0" fillId="0" borderId="0" xfId="0" applyFill="1" applyBorder="1"/>
    <xf numFmtId="9" fontId="0" fillId="0" borderId="1" xfId="0" applyNumberFormat="1" applyFont="1" applyBorder="1"/>
    <xf numFmtId="166" fontId="0" fillId="0" borderId="1" xfId="0" applyNumberFormat="1" applyFont="1" applyBorder="1"/>
    <xf numFmtId="166" fontId="0" fillId="0" borderId="1" xfId="0" applyNumberFormat="1" applyFont="1" applyFill="1" applyBorder="1"/>
    <xf numFmtId="166" fontId="3" fillId="0" borderId="1" xfId="2" applyNumberFormat="1" applyFont="1" applyFill="1" applyBorder="1"/>
    <xf numFmtId="0" fontId="0" fillId="0" borderId="0" xfId="0" applyFill="1"/>
    <xf numFmtId="166" fontId="3" fillId="0" borderId="1" xfId="2" applyNumberFormat="1" applyFont="1" applyBorder="1"/>
    <xf numFmtId="0" fontId="3" fillId="0" borderId="1" xfId="2" applyNumberFormat="1" applyFont="1" applyFill="1" applyBorder="1"/>
    <xf numFmtId="0" fontId="3" fillId="34" borderId="1" xfId="0" applyFont="1" applyFill="1" applyBorder="1" applyAlignment="1">
      <alignment horizontal="center" vertical="top" wrapText="1"/>
    </xf>
    <xf numFmtId="164" fontId="0" fillId="0" borderId="1" xfId="0" applyNumberFormat="1" applyFont="1" applyBorder="1"/>
    <xf numFmtId="3" fontId="0" fillId="0" borderId="1" xfId="0" applyNumberFormat="1" applyFont="1" applyBorder="1"/>
    <xf numFmtId="4" fontId="0" fillId="0" borderId="1" xfId="0" applyNumberFormat="1" applyFont="1" applyBorder="1"/>
    <xf numFmtId="6" fontId="0" fillId="0" borderId="1" xfId="0" applyNumberFormat="1" applyFont="1" applyBorder="1"/>
    <xf numFmtId="8" fontId="0" fillId="0" borderId="1" xfId="0" applyNumberFormat="1" applyFont="1" applyBorder="1"/>
    <xf numFmtId="0" fontId="0" fillId="36" borderId="1" xfId="0" applyFill="1" applyBorder="1"/>
    <xf numFmtId="0" fontId="24" fillId="0" borderId="1" xfId="0" applyFont="1" applyFill="1" applyBorder="1"/>
    <xf numFmtId="0" fontId="0" fillId="33" borderId="11" xfId="0" applyNumberFormat="1" applyFont="1" applyFill="1" applyBorder="1"/>
    <xf numFmtId="165" fontId="0" fillId="0" borderId="1" xfId="0" applyNumberFormat="1" applyFont="1" applyBorder="1"/>
    <xf numFmtId="10" fontId="0" fillId="0" borderId="1" xfId="0" applyNumberFormat="1" applyFont="1" applyBorder="1"/>
    <xf numFmtId="167" fontId="0" fillId="0" borderId="0" xfId="0" applyNumberFormat="1"/>
    <xf numFmtId="0" fontId="19" fillId="34" borderId="1" xfId="0" applyNumberFormat="1" applyFont="1" applyFill="1" applyBorder="1"/>
    <xf numFmtId="0" fontId="0" fillId="0" borderId="0" xfId="0" applyBorder="1"/>
    <xf numFmtId="0" fontId="19" fillId="0" borderId="1" xfId="0" applyFont="1" applyBorder="1"/>
    <xf numFmtId="9" fontId="0" fillId="0" borderId="1" xfId="0" applyNumberFormat="1" applyBorder="1"/>
    <xf numFmtId="167" fontId="0" fillId="0" borderId="1" xfId="0" applyNumberFormat="1" applyBorder="1"/>
    <xf numFmtId="0" fontId="0" fillId="34" borderId="11" xfId="0" applyNumberFormat="1" applyFont="1" applyFill="1" applyBorder="1"/>
    <xf numFmtId="166" fontId="0" fillId="34" borderId="1" xfId="0" applyNumberFormat="1" applyFont="1" applyFill="1" applyBorder="1"/>
    <xf numFmtId="8" fontId="0" fillId="34" borderId="1" xfId="0" applyNumberFormat="1" applyFont="1" applyFill="1" applyBorder="1"/>
    <xf numFmtId="3" fontId="0" fillId="34" borderId="1" xfId="0" applyNumberFormat="1" applyFont="1" applyFill="1" applyBorder="1"/>
    <xf numFmtId="6" fontId="0" fillId="34" borderId="1" xfId="0" applyNumberFormat="1" applyFont="1" applyFill="1" applyBorder="1"/>
    <xf numFmtId="4" fontId="0" fillId="34" borderId="1" xfId="0" applyNumberFormat="1" applyFont="1" applyFill="1" applyBorder="1"/>
    <xf numFmtId="164" fontId="0" fillId="34" borderId="1" xfId="0" applyNumberFormat="1" applyFont="1" applyFill="1" applyBorder="1"/>
    <xf numFmtId="165" fontId="0" fillId="34" borderId="1" xfId="0" applyNumberFormat="1" applyFont="1" applyFill="1" applyBorder="1"/>
    <xf numFmtId="166" fontId="3" fillId="34" borderId="1" xfId="2" applyNumberFormat="1" applyFont="1" applyFill="1" applyBorder="1"/>
    <xf numFmtId="166" fontId="0" fillId="0" borderId="1" xfId="0" applyNumberFormat="1" applyFont="1" applyBorder="1" applyAlignment="1">
      <alignment horizontal="right" wrapText="1"/>
    </xf>
    <xf numFmtId="166" fontId="0" fillId="0" borderId="0" xfId="0" applyNumberFormat="1" applyFont="1" applyBorder="1"/>
    <xf numFmtId="166" fontId="0" fillId="34" borderId="0" xfId="0" applyNumberFormat="1" applyFont="1" applyFill="1" applyBorder="1"/>
    <xf numFmtId="0" fontId="21" fillId="0" borderId="1" xfId="0" applyFont="1" applyBorder="1" applyAlignment="1">
      <alignment vertical="top" wrapText="1"/>
    </xf>
    <xf numFmtId="0" fontId="21" fillId="33" borderId="1" xfId="0" applyFont="1" applyFill="1" applyBorder="1" applyAlignment="1">
      <alignment vertical="top" wrapText="1"/>
    </xf>
    <xf numFmtId="0" fontId="0" fillId="0" borderId="0" xfId="0" applyAlignment="1">
      <alignment vertical="top"/>
    </xf>
    <xf numFmtId="0" fontId="19" fillId="33" borderId="1" xfId="0" applyFont="1" applyFill="1" applyBorder="1" applyAlignment="1">
      <alignment vertical="top"/>
    </xf>
    <xf numFmtId="0" fontId="0" fillId="0" borderId="0" xfId="0" applyNumberFormat="1" applyFont="1" applyAlignment="1">
      <alignment vertical="top"/>
    </xf>
    <xf numFmtId="166" fontId="0" fillId="0" borderId="1" xfId="0" applyNumberFormat="1" applyFont="1" applyFill="1" applyBorder="1" applyAlignment="1">
      <alignment vertical="top"/>
    </xf>
    <xf numFmtId="0" fontId="0" fillId="0" borderId="1" xfId="0" applyFont="1" applyFill="1" applyBorder="1" applyAlignment="1">
      <alignment vertical="top"/>
    </xf>
    <xf numFmtId="3" fontId="0" fillId="0" borderId="0" xfId="0" applyNumberFormat="1" applyAlignment="1">
      <alignment vertical="top"/>
    </xf>
    <xf numFmtId="0" fontId="0" fillId="0" borderId="1" xfId="0" applyNumberFormat="1" applyFont="1" applyFill="1" applyBorder="1" applyAlignment="1">
      <alignment vertical="top"/>
    </xf>
    <xf numFmtId="0" fontId="3" fillId="0" borderId="1" xfId="2" applyNumberFormat="1" applyFont="1" applyFill="1" applyBorder="1" applyAlignment="1">
      <alignment vertical="top"/>
    </xf>
    <xf numFmtId="0" fontId="3" fillId="0" borderId="1" xfId="0" applyNumberFormat="1" applyFont="1" applyFill="1" applyBorder="1" applyAlignment="1">
      <alignment vertical="top"/>
    </xf>
    <xf numFmtId="0" fontId="3" fillId="0" borderId="1" xfId="0" applyFont="1" applyFill="1" applyBorder="1" applyAlignment="1">
      <alignment vertical="top"/>
    </xf>
    <xf numFmtId="0" fontId="3" fillId="0" borderId="1" xfId="1" applyFont="1" applyFill="1" applyBorder="1" applyAlignment="1">
      <alignment horizontal="left" vertical="top" wrapText="1"/>
    </xf>
    <xf numFmtId="9" fontId="0" fillId="0" borderId="1" xfId="0" applyNumberFormat="1" applyFont="1" applyFill="1" applyBorder="1" applyAlignment="1">
      <alignment vertical="top"/>
    </xf>
    <xf numFmtId="3" fontId="3" fillId="0" borderId="1" xfId="0" applyNumberFormat="1" applyFont="1" applyFill="1" applyBorder="1" applyAlignment="1">
      <alignment vertical="top"/>
    </xf>
    <xf numFmtId="3" fontId="3" fillId="0" borderId="1" xfId="0" applyNumberFormat="1" applyFont="1" applyFill="1" applyBorder="1" applyAlignment="1">
      <alignment vertical="top" wrapText="1"/>
    </xf>
    <xf numFmtId="0" fontId="0" fillId="0" borderId="0" xfId="0" applyAlignment="1">
      <alignment vertical="top" wrapText="1"/>
    </xf>
    <xf numFmtId="3" fontId="21" fillId="33" borderId="1" xfId="0" applyNumberFormat="1" applyFont="1" applyFill="1" applyBorder="1" applyAlignment="1">
      <alignment horizontal="left" vertical="top" wrapText="1"/>
    </xf>
    <xf numFmtId="3" fontId="0" fillId="0" borderId="0" xfId="0" applyNumberFormat="1" applyAlignment="1">
      <alignment vertical="top" wrapText="1"/>
    </xf>
    <xf numFmtId="0" fontId="0" fillId="0" borderId="1" xfId="0" applyFont="1" applyFill="1" applyBorder="1" applyAlignment="1">
      <alignment vertical="top" wrapText="1"/>
    </xf>
    <xf numFmtId="3" fontId="3" fillId="0" borderId="1" xfId="0" applyNumberFormat="1" applyFont="1" applyFill="1" applyBorder="1" applyAlignment="1">
      <alignment horizontal="right" vertical="top"/>
    </xf>
    <xf numFmtId="0" fontId="0" fillId="0" borderId="1" xfId="0" applyFont="1" applyFill="1" applyBorder="1" applyAlignment="1">
      <alignment horizontal="right" vertical="top"/>
    </xf>
    <xf numFmtId="3" fontId="3" fillId="0" borderId="1" xfId="0" applyNumberFormat="1" applyFont="1" applyFill="1" applyBorder="1" applyAlignment="1">
      <alignment horizontal="right" vertical="top" wrapText="1"/>
    </xf>
    <xf numFmtId="0" fontId="0" fillId="0" borderId="0" xfId="0" applyAlignment="1">
      <alignment horizontal="right" vertical="top"/>
    </xf>
    <xf numFmtId="0" fontId="0" fillId="0" borderId="1" xfId="0" applyNumberFormat="1" applyFont="1" applyFill="1" applyBorder="1" applyAlignment="1">
      <alignment vertical="top" wrapText="1"/>
    </xf>
    <xf numFmtId="1" fontId="0" fillId="0" borderId="1" xfId="0" applyNumberFormat="1" applyFont="1" applyFill="1" applyBorder="1" applyAlignment="1">
      <alignment vertical="top"/>
    </xf>
    <xf numFmtId="167" fontId="0" fillId="0" borderId="1" xfId="0" applyNumberFormat="1" applyFont="1" applyFill="1" applyBorder="1" applyAlignment="1">
      <alignment horizontal="right" vertical="top"/>
    </xf>
    <xf numFmtId="0" fontId="0" fillId="0" borderId="0" xfId="0" applyAlignment="1">
      <alignment wrapText="1"/>
    </xf>
    <xf numFmtId="0" fontId="3" fillId="0" borderId="1" xfId="0" applyNumberFormat="1" applyFont="1" applyFill="1" applyBorder="1" applyAlignment="1">
      <alignment horizontal="center" vertical="top"/>
    </xf>
    <xf numFmtId="0" fontId="3" fillId="0" borderId="1" xfId="1" applyFont="1" applyFill="1" applyBorder="1" applyAlignment="1">
      <alignment vertical="top" wrapText="1"/>
    </xf>
    <xf numFmtId="166" fontId="19" fillId="0" borderId="1" xfId="0" applyNumberFormat="1" applyFont="1" applyFill="1" applyBorder="1" applyAlignment="1">
      <alignment vertical="top"/>
    </xf>
    <xf numFmtId="0" fontId="19" fillId="0" borderId="0" xfId="0" applyFont="1" applyAlignment="1">
      <alignment vertical="top"/>
    </xf>
    <xf numFmtId="0" fontId="0" fillId="0" borderId="0" xfId="0" applyFont="1" applyAlignment="1">
      <alignment vertical="top"/>
    </xf>
    <xf numFmtId="0" fontId="0" fillId="0" borderId="1" xfId="0" applyFont="1" applyFill="1" applyBorder="1" applyAlignment="1">
      <alignment horizontal="right" vertical="top" wrapText="1"/>
    </xf>
    <xf numFmtId="0" fontId="0" fillId="0" borderId="0" xfId="0" applyAlignment="1">
      <alignment horizontal="right" vertical="top" wrapText="1"/>
    </xf>
    <xf numFmtId="168" fontId="0" fillId="0" borderId="1" xfId="0" applyNumberFormat="1" applyFont="1" applyFill="1" applyBorder="1" applyAlignment="1">
      <alignment vertical="top"/>
    </xf>
    <xf numFmtId="168" fontId="3" fillId="0" borderId="1" xfId="2" applyNumberFormat="1" applyFont="1" applyFill="1" applyBorder="1" applyAlignment="1">
      <alignment vertical="top"/>
    </xf>
    <xf numFmtId="0" fontId="21" fillId="33" borderId="1" xfId="0" applyFont="1" applyFill="1" applyBorder="1" applyAlignment="1">
      <alignment horizontal="left" vertical="top" wrapText="1" shrinkToFit="1"/>
    </xf>
    <xf numFmtId="0" fontId="0" fillId="0" borderId="1" xfId="0" applyNumberFormat="1" applyFont="1" applyFill="1" applyBorder="1" applyAlignment="1">
      <alignment horizontal="left" vertical="top" wrapText="1" shrinkToFit="1"/>
    </xf>
    <xf numFmtId="0" fontId="3" fillId="0" borderId="1" xfId="2" applyNumberFormat="1" applyFont="1" applyFill="1" applyBorder="1" applyAlignment="1">
      <alignment horizontal="left" vertical="top" wrapText="1" shrinkToFit="1"/>
    </xf>
    <xf numFmtId="1" fontId="3" fillId="0" borderId="1" xfId="2" applyNumberFormat="1" applyFont="1" applyFill="1" applyBorder="1" applyAlignment="1">
      <alignment horizontal="left" vertical="top" wrapText="1" shrinkToFit="1"/>
    </xf>
    <xf numFmtId="1" fontId="0" fillId="0" borderId="1" xfId="0" applyNumberFormat="1" applyFont="1" applyFill="1" applyBorder="1" applyAlignment="1">
      <alignment horizontal="left" vertical="top" wrapText="1" shrinkToFit="1"/>
    </xf>
    <xf numFmtId="0" fontId="0" fillId="0" borderId="1" xfId="0" applyFont="1" applyFill="1" applyBorder="1" applyAlignment="1">
      <alignment horizontal="left" vertical="top" wrapText="1" shrinkToFit="1"/>
    </xf>
    <xf numFmtId="0" fontId="0" fillId="0" borderId="0" xfId="0" applyAlignment="1">
      <alignment horizontal="left" vertical="top" wrapText="1" shrinkToFit="1"/>
    </xf>
    <xf numFmtId="0" fontId="21" fillId="0" borderId="1" xfId="0" applyNumberFormat="1" applyFont="1" applyFill="1" applyBorder="1" applyAlignment="1">
      <alignment vertical="top" wrapText="1"/>
    </xf>
    <xf numFmtId="3" fontId="0" fillId="0" borderId="1" xfId="0" applyNumberFormat="1" applyFont="1" applyFill="1" applyBorder="1" applyAlignment="1">
      <alignment vertical="top"/>
    </xf>
    <xf numFmtId="3" fontId="0" fillId="0" borderId="1" xfId="0" applyNumberFormat="1" applyFont="1" applyFill="1" applyBorder="1" applyAlignment="1">
      <alignment vertical="top" wrapText="1"/>
    </xf>
    <xf numFmtId="0" fontId="21" fillId="0" borderId="1" xfId="1" applyFont="1" applyFill="1" applyBorder="1" applyAlignment="1">
      <alignment horizontal="left" vertical="top" wrapText="1"/>
    </xf>
    <xf numFmtId="0" fontId="21" fillId="35" borderId="1" xfId="0" applyFont="1" applyFill="1" applyBorder="1" applyAlignment="1">
      <alignment vertical="top" wrapText="1"/>
    </xf>
    <xf numFmtId="0" fontId="19" fillId="0" borderId="1" xfId="0" applyNumberFormat="1" applyFont="1" applyFill="1" applyBorder="1" applyAlignment="1">
      <alignment vertical="top" wrapText="1"/>
    </xf>
    <xf numFmtId="49" fontId="21" fillId="0" borderId="1" xfId="0" applyNumberFormat="1" applyFont="1" applyFill="1" applyBorder="1" applyAlignment="1">
      <alignment vertical="top" wrapText="1"/>
    </xf>
    <xf numFmtId="0" fontId="19" fillId="0" borderId="1" xfId="0" applyFont="1" applyBorder="1" applyAlignment="1">
      <alignment vertical="top" wrapText="1"/>
    </xf>
    <xf numFmtId="0" fontId="30" fillId="0" borderId="1" xfId="0" applyFont="1" applyBorder="1" applyAlignment="1">
      <alignment vertical="top" wrapText="1"/>
    </xf>
    <xf numFmtId="0" fontId="19" fillId="0" borderId="1" xfId="0" applyFont="1" applyFill="1" applyBorder="1" applyAlignment="1">
      <alignment vertical="top" wrapText="1"/>
    </xf>
    <xf numFmtId="0" fontId="19" fillId="0" borderId="0" xfId="0" applyFont="1" applyFill="1" applyBorder="1" applyAlignment="1">
      <alignment vertical="top" wrapText="1"/>
    </xf>
    <xf numFmtId="0" fontId="19" fillId="0" borderId="0" xfId="0" applyFont="1" applyAlignment="1">
      <alignment vertical="top" wrapText="1"/>
    </xf>
    <xf numFmtId="0" fontId="3" fillId="0" borderId="1" xfId="2" applyNumberFormat="1" applyFont="1" applyFill="1" applyBorder="1" applyAlignment="1">
      <alignment vertical="top" wrapText="1"/>
    </xf>
    <xf numFmtId="9" fontId="0" fillId="0" borderId="1" xfId="0" applyNumberFormat="1" applyFont="1" applyFill="1" applyBorder="1" applyAlignment="1">
      <alignment vertical="top" wrapText="1"/>
    </xf>
    <xf numFmtId="167" fontId="0" fillId="0" borderId="1" xfId="0" applyNumberFormat="1" applyFont="1" applyFill="1" applyBorder="1" applyAlignment="1">
      <alignment horizontal="right" vertical="top" wrapText="1"/>
    </xf>
    <xf numFmtId="166" fontId="0" fillId="0" borderId="1" xfId="0" applyNumberFormat="1" applyFont="1" applyFill="1" applyBorder="1" applyAlignment="1">
      <alignment vertical="top" wrapText="1"/>
    </xf>
    <xf numFmtId="166" fontId="19" fillId="0" borderId="1" xfId="0" applyNumberFormat="1" applyFont="1" applyFill="1" applyBorder="1" applyAlignment="1">
      <alignment vertical="top" wrapText="1"/>
    </xf>
    <xf numFmtId="168" fontId="0" fillId="0" borderId="1" xfId="0" applyNumberFormat="1" applyFont="1" applyFill="1" applyBorder="1" applyAlignment="1">
      <alignment vertical="top" wrapText="1"/>
    </xf>
    <xf numFmtId="3" fontId="3"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31" fillId="38" borderId="0" xfId="0" applyFont="1" applyFill="1" applyAlignment="1">
      <alignment vertical="top"/>
    </xf>
    <xf numFmtId="3" fontId="32" fillId="40" borderId="0" xfId="0" applyNumberFormat="1" applyFont="1" applyFill="1" applyAlignment="1">
      <alignment vertical="top" wrapText="1"/>
    </xf>
    <xf numFmtId="3" fontId="31" fillId="40" borderId="0" xfId="0" applyNumberFormat="1" applyFont="1" applyFill="1" applyAlignment="1">
      <alignment vertical="top" wrapText="1"/>
    </xf>
    <xf numFmtId="0" fontId="33" fillId="42" borderId="0" xfId="0" applyFont="1" applyFill="1" applyAlignment="1">
      <alignment horizontal="left" vertical="top"/>
    </xf>
    <xf numFmtId="0" fontId="34" fillId="42" borderId="0" xfId="0" applyFont="1" applyFill="1" applyAlignment="1">
      <alignment horizontal="right" vertical="top"/>
    </xf>
    <xf numFmtId="0" fontId="34" fillId="42" borderId="0" xfId="0" applyFont="1" applyFill="1" applyAlignment="1">
      <alignment vertical="top"/>
    </xf>
    <xf numFmtId="0" fontId="33" fillId="41" borderId="0" xfId="0" applyFont="1" applyFill="1" applyAlignment="1">
      <alignment vertical="top"/>
    </xf>
    <xf numFmtId="0" fontId="31" fillId="39" borderId="0" xfId="0" applyFont="1" applyFill="1" applyAlignment="1">
      <alignment vertical="top"/>
    </xf>
    <xf numFmtId="0" fontId="33" fillId="37" borderId="0" xfId="0" applyFont="1" applyFill="1" applyAlignment="1">
      <alignment horizontal="left" vertical="top" wrapText="1" shrinkToFit="1"/>
    </xf>
    <xf numFmtId="0" fontId="34" fillId="0" borderId="0" xfId="0" applyFont="1" applyAlignment="1">
      <alignment vertical="top"/>
    </xf>
    <xf numFmtId="0" fontId="31" fillId="34" borderId="0" xfId="0" applyFont="1" applyFill="1" applyAlignment="1">
      <alignment vertical="top"/>
    </xf>
  </cellXfs>
  <cellStyles count="52">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2"/>
    <cellStyle name="Normal_Sheet1"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2">
    <dxf>
      <fill>
        <patternFill patternType="solid">
          <fgColor rgb="FFFFFF00"/>
          <bgColor rgb="FF000000"/>
        </patternFill>
      </fill>
    </dxf>
    <dxf>
      <fill>
        <patternFill patternType="solid">
          <fgColor rgb="FFFFFF00"/>
          <bgColor rgb="FF000000"/>
        </patternFill>
      </fill>
    </dxf>
  </dxfs>
  <tableStyles count="0" defaultTableStyle="TableStyleMedium2" defaultPivotStyle="PivotStyleLight16"/>
  <colors>
    <mruColors>
      <color rgb="FF6992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84"/>
  <sheetViews>
    <sheetView tabSelected="1" zoomScaleNormal="100" workbookViewId="0">
      <pane xSplit="1" ySplit="2" topLeftCell="B3" activePane="bottomRight" state="frozen"/>
      <selection pane="topRight" activeCell="B1" sqref="B1"/>
      <selection pane="bottomLeft" activeCell="A2" sqref="A2"/>
      <selection pane="bottomRight" activeCell="BX3" sqref="BX3"/>
    </sheetView>
  </sheetViews>
  <sheetFormatPr defaultColWidth="8.7109375" defaultRowHeight="15" x14ac:dyDescent="0.25"/>
  <cols>
    <col min="1" max="1" width="27.28515625" style="121" customWidth="1"/>
    <col min="2" max="2" width="12.85546875" style="68" bestFit="1" customWidth="1"/>
    <col min="3" max="3" width="13.140625" style="68" customWidth="1"/>
    <col min="4" max="6" width="8.7109375" style="68"/>
    <col min="7" max="8" width="12" style="68" customWidth="1"/>
    <col min="9" max="9" width="15.140625" style="68" customWidth="1"/>
    <col min="10" max="11" width="13.85546875" style="68" customWidth="1"/>
    <col min="12" max="12" width="13.85546875" style="82" customWidth="1"/>
    <col min="13" max="13" width="14.7109375" style="84" customWidth="1"/>
    <col min="14" max="14" width="10.5703125" style="68" customWidth="1"/>
    <col min="15" max="16" width="13.85546875" style="68" customWidth="1"/>
    <col min="17" max="17" width="14.7109375" style="84" customWidth="1"/>
    <col min="18" max="18" width="10.85546875" style="68" customWidth="1"/>
    <col min="19" max="19" width="10.7109375" style="68" customWidth="1"/>
    <col min="20" max="20" width="11.85546875" style="68" customWidth="1"/>
    <col min="21" max="27" width="8.85546875" style="82" bestFit="1" customWidth="1"/>
    <col min="28" max="28" width="14.7109375" style="68" customWidth="1"/>
    <col min="29" max="29" width="12" style="68" customWidth="1"/>
    <col min="30" max="30" width="13.140625" style="68" customWidth="1"/>
    <col min="31" max="31" width="15.140625" style="89" customWidth="1"/>
    <col min="32" max="32" width="12" style="68" customWidth="1"/>
    <col min="33" max="33" width="26.85546875" style="68" customWidth="1"/>
    <col min="34" max="35" width="19.28515625" style="89" customWidth="1"/>
    <col min="36" max="36" width="12" style="68" customWidth="1"/>
    <col min="37" max="37" width="27.42578125" style="68" customWidth="1"/>
    <col min="38" max="38" width="15.140625" style="89" customWidth="1"/>
    <col min="39" max="39" width="19.140625" style="89" customWidth="1"/>
    <col min="40" max="40" width="12" style="68" customWidth="1"/>
    <col min="41" max="41" width="37.42578125" style="68" customWidth="1"/>
    <col min="42" max="42" width="15.140625" style="89" customWidth="1"/>
    <col min="43" max="43" width="12" style="68" customWidth="1"/>
    <col min="44" max="44" width="32.28515625" style="68" customWidth="1"/>
    <col min="45" max="45" width="15.140625" style="89" customWidth="1"/>
    <col min="46" max="46" width="12" style="68" customWidth="1"/>
    <col min="47" max="48" width="16.140625" style="68" customWidth="1"/>
    <col min="49" max="49" width="15.140625" style="89" customWidth="1"/>
    <col min="50" max="50" width="18.85546875" style="68" customWidth="1"/>
    <col min="51" max="51" width="24.85546875" style="100" customWidth="1"/>
    <col min="52" max="52" width="12.28515625" style="68" customWidth="1"/>
    <col min="53" max="54" width="12.28515625" style="89" customWidth="1"/>
    <col min="55" max="55" width="20" style="68" customWidth="1"/>
    <col min="56" max="56" width="15.28515625" style="68" customWidth="1"/>
    <col min="57" max="58" width="11" style="68" customWidth="1"/>
    <col min="59" max="59" width="13.85546875" style="73" customWidth="1"/>
    <col min="60" max="60" width="10.85546875" style="68" customWidth="1"/>
    <col min="61" max="61" width="11.140625" style="97" customWidth="1"/>
    <col min="62" max="63" width="10" style="73" customWidth="1"/>
    <col min="64" max="65" width="16.28515625" style="68" customWidth="1"/>
    <col min="66" max="66" width="10.85546875" style="68" customWidth="1"/>
    <col min="67" max="68" width="10.5703125" style="68" customWidth="1"/>
    <col min="69" max="70" width="54.140625" style="109" customWidth="1"/>
    <col min="71" max="73" width="12.42578125" style="98" customWidth="1"/>
    <col min="74" max="74" width="12.42578125" style="97" customWidth="1"/>
    <col min="75" max="75" width="12.7109375" style="68" customWidth="1"/>
    <col min="76" max="76" width="13.28515625" style="68" customWidth="1"/>
    <col min="77" max="16384" width="8.7109375" style="68"/>
  </cols>
  <sheetData>
    <row r="1" spans="1:87" s="139" customFormat="1" ht="15.75" x14ac:dyDescent="0.25">
      <c r="A1" s="130" t="s">
        <v>711</v>
      </c>
      <c r="B1" s="130"/>
      <c r="C1" s="130"/>
      <c r="D1" s="130"/>
      <c r="E1" s="130"/>
      <c r="F1" s="130"/>
      <c r="G1" s="130"/>
      <c r="H1" s="130"/>
      <c r="I1" s="130"/>
      <c r="J1" s="130"/>
      <c r="K1" s="130"/>
      <c r="L1" s="130"/>
      <c r="M1" s="130"/>
      <c r="N1" s="130"/>
      <c r="O1" s="130"/>
      <c r="P1" s="130"/>
      <c r="Q1" s="131" t="s">
        <v>629</v>
      </c>
      <c r="R1" s="131"/>
      <c r="S1" s="131"/>
      <c r="T1" s="131"/>
      <c r="U1" s="131"/>
      <c r="V1" s="131"/>
      <c r="W1" s="131"/>
      <c r="X1" s="131"/>
      <c r="Y1" s="131"/>
      <c r="Z1" s="131"/>
      <c r="AA1" s="131"/>
      <c r="AB1" s="131"/>
      <c r="AC1" s="131"/>
      <c r="AD1" s="132"/>
      <c r="AE1" s="132"/>
      <c r="AF1" s="132"/>
      <c r="AG1" s="132"/>
      <c r="AH1" s="133" t="s">
        <v>714</v>
      </c>
      <c r="AI1" s="134"/>
      <c r="AJ1" s="135"/>
      <c r="AK1" s="135"/>
      <c r="AL1" s="134"/>
      <c r="AM1" s="134"/>
      <c r="AN1" s="135"/>
      <c r="AO1" s="135"/>
      <c r="AP1" s="135"/>
      <c r="AQ1" s="135"/>
      <c r="AR1" s="135"/>
      <c r="AS1" s="135"/>
      <c r="AT1" s="135"/>
      <c r="AU1" s="136" t="s">
        <v>713</v>
      </c>
      <c r="AV1" s="136"/>
      <c r="AW1" s="136"/>
      <c r="AX1" s="136"/>
      <c r="AY1" s="136"/>
      <c r="AZ1" s="137" t="s">
        <v>715</v>
      </c>
      <c r="BA1" s="137"/>
      <c r="BB1" s="137"/>
      <c r="BC1" s="140" t="s">
        <v>719</v>
      </c>
      <c r="BD1" s="136" t="s">
        <v>716</v>
      </c>
      <c r="BE1" s="136"/>
      <c r="BF1" s="136"/>
      <c r="BG1" s="136"/>
      <c r="BH1" s="136"/>
      <c r="BI1" s="136"/>
      <c r="BJ1" s="136"/>
      <c r="BK1" s="136"/>
      <c r="BL1" s="136"/>
      <c r="BM1" s="136"/>
      <c r="BN1" s="136"/>
      <c r="BO1" s="136"/>
      <c r="BP1" s="136"/>
      <c r="BQ1" s="138" t="s">
        <v>717</v>
      </c>
      <c r="BR1" s="138"/>
      <c r="BS1" s="136" t="s">
        <v>718</v>
      </c>
      <c r="BT1" s="136"/>
      <c r="BU1" s="136"/>
      <c r="BV1" s="136"/>
      <c r="BW1" s="136"/>
      <c r="BX1" s="136"/>
    </row>
    <row r="2" spans="1:87" ht="111" customHeight="1" x14ac:dyDescent="0.25">
      <c r="A2" s="3" t="s">
        <v>0</v>
      </c>
      <c r="B2" s="3" t="s">
        <v>706</v>
      </c>
      <c r="C2" s="67" t="s">
        <v>707</v>
      </c>
      <c r="D2" s="67" t="s">
        <v>1</v>
      </c>
      <c r="E2" s="67" t="s">
        <v>2</v>
      </c>
      <c r="F2" s="3" t="s">
        <v>3</v>
      </c>
      <c r="G2" s="3" t="s">
        <v>686</v>
      </c>
      <c r="H2" s="3" t="s">
        <v>23</v>
      </c>
      <c r="I2" s="69" t="s">
        <v>22</v>
      </c>
      <c r="J2" s="3" t="s">
        <v>228</v>
      </c>
      <c r="K2" s="3" t="s">
        <v>667</v>
      </c>
      <c r="L2" s="3" t="s">
        <v>712</v>
      </c>
      <c r="M2" s="83" t="s">
        <v>687</v>
      </c>
      <c r="N2" s="3" t="s">
        <v>673</v>
      </c>
      <c r="O2" s="3" t="s">
        <v>709</v>
      </c>
      <c r="P2" s="3" t="s">
        <v>710</v>
      </c>
      <c r="Q2" s="83" t="s">
        <v>688</v>
      </c>
      <c r="R2" s="83" t="s">
        <v>229</v>
      </c>
      <c r="S2" s="3" t="s">
        <v>604</v>
      </c>
      <c r="T2" s="3" t="s">
        <v>698</v>
      </c>
      <c r="U2" s="3" t="s">
        <v>692</v>
      </c>
      <c r="V2" s="3" t="s">
        <v>693</v>
      </c>
      <c r="W2" s="3" t="s">
        <v>694</v>
      </c>
      <c r="X2" s="3" t="s">
        <v>695</v>
      </c>
      <c r="Y2" s="3" t="s">
        <v>696</v>
      </c>
      <c r="Z2" s="3" t="s">
        <v>690</v>
      </c>
      <c r="AA2" s="3" t="s">
        <v>697</v>
      </c>
      <c r="AB2" s="3" t="s">
        <v>230</v>
      </c>
      <c r="AC2" s="3" t="s">
        <v>231</v>
      </c>
      <c r="AD2" s="3" t="s">
        <v>605</v>
      </c>
      <c r="AE2" s="3" t="s">
        <v>232</v>
      </c>
      <c r="AF2" s="3" t="s">
        <v>233</v>
      </c>
      <c r="AG2" s="3" t="s">
        <v>234</v>
      </c>
      <c r="AH2" s="3" t="s">
        <v>703</v>
      </c>
      <c r="AI2" s="3" t="s">
        <v>238</v>
      </c>
      <c r="AJ2" s="3" t="s">
        <v>239</v>
      </c>
      <c r="AK2" s="3" t="s">
        <v>704</v>
      </c>
      <c r="AL2" s="3" t="s">
        <v>240</v>
      </c>
      <c r="AM2" s="3" t="s">
        <v>241</v>
      </c>
      <c r="AN2" s="3" t="s">
        <v>242</v>
      </c>
      <c r="AO2" s="3" t="s">
        <v>669</v>
      </c>
      <c r="AP2" s="3" t="s">
        <v>243</v>
      </c>
      <c r="AQ2" s="3" t="s">
        <v>244</v>
      </c>
      <c r="AR2" s="3" t="s">
        <v>670</v>
      </c>
      <c r="AS2" s="3" t="s">
        <v>245</v>
      </c>
      <c r="AT2" s="3" t="s">
        <v>246</v>
      </c>
      <c r="AU2" s="3" t="s">
        <v>643</v>
      </c>
      <c r="AV2" s="3" t="s">
        <v>668</v>
      </c>
      <c r="AW2" s="3" t="s">
        <v>235</v>
      </c>
      <c r="AX2" s="3" t="s">
        <v>236</v>
      </c>
      <c r="AY2" s="3" t="s">
        <v>237</v>
      </c>
      <c r="AZ2" s="3" t="s">
        <v>705</v>
      </c>
      <c r="BA2" s="3" t="s">
        <v>671</v>
      </c>
      <c r="BB2" s="3" t="s">
        <v>672</v>
      </c>
      <c r="BC2" s="3" t="s">
        <v>708</v>
      </c>
      <c r="BD2" s="83" t="s">
        <v>721</v>
      </c>
      <c r="BE2" s="83" t="s">
        <v>720</v>
      </c>
      <c r="BF2" s="83" t="s">
        <v>699</v>
      </c>
      <c r="BG2" s="83" t="s">
        <v>689</v>
      </c>
      <c r="BH2" s="83" t="s">
        <v>256</v>
      </c>
      <c r="BI2" s="3" t="s">
        <v>683</v>
      </c>
      <c r="BJ2" s="83" t="s">
        <v>691</v>
      </c>
      <c r="BK2" s="83" t="s">
        <v>700</v>
      </c>
      <c r="BL2" s="83" t="s">
        <v>684</v>
      </c>
      <c r="BM2" s="83" t="s">
        <v>257</v>
      </c>
      <c r="BN2" s="83" t="s">
        <v>258</v>
      </c>
      <c r="BO2" s="83" t="s">
        <v>701</v>
      </c>
      <c r="BP2" s="83" t="s">
        <v>702</v>
      </c>
      <c r="BQ2" s="103" t="s">
        <v>259</v>
      </c>
      <c r="BR2" s="103" t="s">
        <v>260</v>
      </c>
      <c r="BS2" s="3" t="s">
        <v>606</v>
      </c>
      <c r="BT2" s="3" t="s">
        <v>607</v>
      </c>
      <c r="BU2" s="3" t="s">
        <v>682</v>
      </c>
      <c r="BV2" s="3" t="s">
        <v>679</v>
      </c>
      <c r="BW2" s="3" t="s">
        <v>680</v>
      </c>
      <c r="BX2" s="3" t="s">
        <v>681</v>
      </c>
      <c r="BY2" s="70"/>
      <c r="BZ2" s="70"/>
      <c r="CA2" s="70"/>
      <c r="CB2" s="70"/>
      <c r="CC2" s="70"/>
      <c r="CD2" s="70"/>
      <c r="CE2" s="70"/>
      <c r="CF2" s="70"/>
      <c r="CG2" s="70"/>
      <c r="CH2" s="70"/>
      <c r="CI2" s="70"/>
    </row>
    <row r="3" spans="1:87" customFormat="1" ht="90" x14ac:dyDescent="0.25">
      <c r="A3" s="110" t="s">
        <v>138</v>
      </c>
      <c r="B3" s="5">
        <v>665</v>
      </c>
      <c r="C3" s="8" t="s">
        <v>4</v>
      </c>
      <c r="D3" s="8" t="s">
        <v>5</v>
      </c>
      <c r="E3" s="76" t="s">
        <v>137</v>
      </c>
      <c r="F3" s="94"/>
      <c r="G3" s="77" t="s">
        <v>6</v>
      </c>
      <c r="H3" s="77" t="s">
        <v>6</v>
      </c>
      <c r="I3" s="8" t="s">
        <v>7</v>
      </c>
      <c r="J3" s="74" t="s">
        <v>7</v>
      </c>
      <c r="K3" s="74" t="s">
        <v>526</v>
      </c>
      <c r="L3" s="90" t="s">
        <v>600</v>
      </c>
      <c r="M3" s="81">
        <v>688</v>
      </c>
      <c r="N3" s="74" t="s">
        <v>6</v>
      </c>
      <c r="O3" s="74" t="s">
        <v>6</v>
      </c>
      <c r="P3" s="74" t="s">
        <v>221</v>
      </c>
      <c r="Q3" s="81">
        <v>7211</v>
      </c>
      <c r="R3" s="74" t="s">
        <v>222</v>
      </c>
      <c r="S3" s="79">
        <f>(Q3-AA3)/Q3</f>
        <v>0.18707530162252115</v>
      </c>
      <c r="T3" s="80">
        <f>AVERAGE(Q3:Q3)</f>
        <v>7211</v>
      </c>
      <c r="U3" s="81">
        <v>7500</v>
      </c>
      <c r="V3" s="81">
        <v>6167</v>
      </c>
      <c r="W3" s="81">
        <v>6167</v>
      </c>
      <c r="X3" s="81">
        <v>5959</v>
      </c>
      <c r="Y3" s="81">
        <v>7018</v>
      </c>
      <c r="Z3" s="81">
        <v>6642</v>
      </c>
      <c r="AA3" s="81">
        <v>5862</v>
      </c>
      <c r="AB3" s="80">
        <v>7211</v>
      </c>
      <c r="AC3" s="80" t="s">
        <v>223</v>
      </c>
      <c r="AD3" s="80">
        <f>Q3/100*75</f>
        <v>5408.25</v>
      </c>
      <c r="AE3" s="86">
        <v>0</v>
      </c>
      <c r="AF3" s="80" t="s">
        <v>223</v>
      </c>
      <c r="AG3" s="81" t="s">
        <v>225</v>
      </c>
      <c r="AH3" s="86">
        <v>0</v>
      </c>
      <c r="AI3" s="86">
        <v>0</v>
      </c>
      <c r="AJ3" s="80" t="s">
        <v>222</v>
      </c>
      <c r="AK3" s="80">
        <v>0</v>
      </c>
      <c r="AL3" s="86">
        <v>0</v>
      </c>
      <c r="AM3" s="86">
        <v>0</v>
      </c>
      <c r="AN3" s="80" t="s">
        <v>222</v>
      </c>
      <c r="AO3" s="74">
        <v>10</v>
      </c>
      <c r="AP3" s="86">
        <v>400</v>
      </c>
      <c r="AQ3" s="80" t="s">
        <v>223</v>
      </c>
      <c r="AR3" s="74">
        <v>2</v>
      </c>
      <c r="AS3" s="86">
        <v>40</v>
      </c>
      <c r="AT3" s="80" t="s">
        <v>223</v>
      </c>
      <c r="AU3" s="80" t="s">
        <v>6</v>
      </c>
      <c r="AV3" s="80" t="s">
        <v>6</v>
      </c>
      <c r="AW3" s="86">
        <v>16029</v>
      </c>
      <c r="AX3" s="80" t="s">
        <v>6</v>
      </c>
      <c r="AY3" s="88">
        <v>1180</v>
      </c>
      <c r="AZ3" s="74" t="s">
        <v>221</v>
      </c>
      <c r="BA3" s="92" t="s">
        <v>266</v>
      </c>
      <c r="BB3" s="92" t="s">
        <v>266</v>
      </c>
      <c r="BC3" s="71" t="s">
        <v>221</v>
      </c>
      <c r="BD3" s="74"/>
      <c r="BE3" s="74">
        <v>25</v>
      </c>
      <c r="BF3" s="74">
        <v>50</v>
      </c>
      <c r="BG3" s="111">
        <v>10236</v>
      </c>
      <c r="BH3" s="74" t="s">
        <v>223</v>
      </c>
      <c r="BI3" s="96">
        <f>BG3/7*50</f>
        <v>73114.28571428571</v>
      </c>
      <c r="BJ3" s="111">
        <v>3500</v>
      </c>
      <c r="BK3" s="111" t="s">
        <v>199</v>
      </c>
      <c r="BL3" s="74">
        <v>0</v>
      </c>
      <c r="BM3" s="74">
        <v>0</v>
      </c>
      <c r="BN3" s="74" t="s">
        <v>222</v>
      </c>
      <c r="BO3" s="74">
        <v>0</v>
      </c>
      <c r="BP3" s="74">
        <v>0</v>
      </c>
      <c r="BQ3" s="104" t="s">
        <v>226</v>
      </c>
      <c r="BR3" s="104" t="s">
        <v>227</v>
      </c>
      <c r="BS3" s="71">
        <f>AD3/100*(47)*14.08</f>
        <v>35789.635200000004</v>
      </c>
      <c r="BT3" s="71">
        <f>AD3/100*(53)*28.16</f>
        <v>80717.049599999998</v>
      </c>
      <c r="BU3" s="71">
        <v>29531.9192</v>
      </c>
      <c r="BV3" s="96">
        <f>SUM(BS3:BU3)</f>
        <v>146038.60399999999</v>
      </c>
      <c r="BW3" s="101">
        <f>BM3*(1-0.25)*(1-0.21)*(1-0.25)*1.2</f>
        <v>0</v>
      </c>
      <c r="BX3" s="101">
        <f>SUBTOTAL(9,BM3,BW3)</f>
        <v>0</v>
      </c>
      <c r="BY3" s="28"/>
    </row>
    <row r="4" spans="1:87" customFormat="1" ht="30" x14ac:dyDescent="0.25">
      <c r="A4" s="18" t="s">
        <v>59</v>
      </c>
      <c r="B4" s="5">
        <v>2308</v>
      </c>
      <c r="C4" s="8" t="s">
        <v>4</v>
      </c>
      <c r="D4" s="8" t="s">
        <v>5</v>
      </c>
      <c r="E4" s="95" t="s">
        <v>25</v>
      </c>
      <c r="F4" s="78"/>
      <c r="G4" s="77" t="s">
        <v>6</v>
      </c>
      <c r="H4" s="77" t="s">
        <v>6</v>
      </c>
      <c r="I4" s="8" t="s">
        <v>8</v>
      </c>
      <c r="J4" s="74" t="s">
        <v>7</v>
      </c>
      <c r="K4" s="74" t="s">
        <v>529</v>
      </c>
      <c r="L4" s="90" t="s">
        <v>599</v>
      </c>
      <c r="M4" s="81">
        <v>2555</v>
      </c>
      <c r="N4" s="74" t="s">
        <v>6</v>
      </c>
      <c r="O4" s="74" t="s">
        <v>221</v>
      </c>
      <c r="P4" s="74" t="s">
        <v>221</v>
      </c>
      <c r="Q4" s="81">
        <v>105000</v>
      </c>
      <c r="R4" s="74" t="s">
        <v>222</v>
      </c>
      <c r="S4" s="79">
        <f>(Q4-AA4)/Q4</f>
        <v>-1.9047619047619049E-2</v>
      </c>
      <c r="T4" s="80">
        <f>AVERAGE(Q4:Q4)</f>
        <v>105000</v>
      </c>
      <c r="U4" s="81"/>
      <c r="V4" s="81"/>
      <c r="W4" s="81"/>
      <c r="X4" s="81"/>
      <c r="Y4" s="81"/>
      <c r="Z4" s="81"/>
      <c r="AA4" s="81">
        <v>107000</v>
      </c>
      <c r="AB4" s="80" t="s">
        <v>224</v>
      </c>
      <c r="AC4" s="80" t="s">
        <v>75</v>
      </c>
      <c r="AD4" s="80">
        <f>Q4/100*68</f>
        <v>71400</v>
      </c>
      <c r="AE4" s="86" t="s">
        <v>224</v>
      </c>
      <c r="AF4" s="80" t="s">
        <v>75</v>
      </c>
      <c r="AG4" s="81" t="s">
        <v>261</v>
      </c>
      <c r="AH4" s="86">
        <v>6</v>
      </c>
      <c r="AI4" s="86">
        <v>150</v>
      </c>
      <c r="AJ4" s="80" t="s">
        <v>222</v>
      </c>
      <c r="AK4" s="80">
        <v>2</v>
      </c>
      <c r="AL4" s="86">
        <v>100</v>
      </c>
      <c r="AM4" s="86">
        <v>4</v>
      </c>
      <c r="AN4" s="80" t="s">
        <v>222</v>
      </c>
      <c r="AO4" s="74">
        <v>23</v>
      </c>
      <c r="AP4" s="86">
        <v>870</v>
      </c>
      <c r="AQ4" s="80" t="s">
        <v>222</v>
      </c>
      <c r="AR4" s="74">
        <v>15</v>
      </c>
      <c r="AS4" s="86">
        <v>1200</v>
      </c>
      <c r="AT4" s="80" t="s">
        <v>222</v>
      </c>
      <c r="AU4" s="80" t="s">
        <v>6</v>
      </c>
      <c r="AV4" s="80" t="s">
        <v>6</v>
      </c>
      <c r="AW4" s="86">
        <v>284000</v>
      </c>
      <c r="AX4" s="80" t="s">
        <v>6</v>
      </c>
      <c r="AY4" s="88" t="s">
        <v>262</v>
      </c>
      <c r="AZ4" s="74" t="s">
        <v>221</v>
      </c>
      <c r="BA4" s="92" t="s">
        <v>266</v>
      </c>
      <c r="BB4" s="92" t="s">
        <v>266</v>
      </c>
      <c r="BC4" s="71" t="s">
        <v>6</v>
      </c>
      <c r="BD4" s="74">
        <v>30</v>
      </c>
      <c r="BE4" s="74"/>
      <c r="BF4" s="74">
        <v>33</v>
      </c>
      <c r="BG4" s="111">
        <v>1440</v>
      </c>
      <c r="BH4" s="74" t="s">
        <v>222</v>
      </c>
      <c r="BI4" s="96">
        <f>BG4/7*50</f>
        <v>10285.714285714286</v>
      </c>
      <c r="BJ4" s="111"/>
      <c r="BK4" s="111">
        <v>3500</v>
      </c>
      <c r="BL4" s="74">
        <v>3</v>
      </c>
      <c r="BM4" s="74">
        <v>3</v>
      </c>
      <c r="BN4" s="74" t="s">
        <v>222</v>
      </c>
      <c r="BO4" s="74">
        <v>3</v>
      </c>
      <c r="BP4" s="74">
        <v>3</v>
      </c>
      <c r="BQ4" s="104" t="s">
        <v>224</v>
      </c>
      <c r="BR4" s="104" t="s">
        <v>224</v>
      </c>
      <c r="BS4" s="71">
        <f>AD4/100*(31)*17.99</f>
        <v>398190.66</v>
      </c>
      <c r="BT4" s="71">
        <f>AD4/100*(69)*35.98</f>
        <v>1772590.68</v>
      </c>
      <c r="BU4" s="71">
        <v>77123.03</v>
      </c>
      <c r="BV4" s="96">
        <f t="shared" ref="BV4:BV67" si="0">SUM(BS4:BU4)</f>
        <v>2247904.3699999996</v>
      </c>
      <c r="BW4" s="101">
        <f>BM4*(1-0.25)*(1-0.25)*(1-0.375)*1.2</f>
        <v>1.265625</v>
      </c>
      <c r="BX4" s="101">
        <f>SUBTOTAL(9,BM4,BW4)</f>
        <v>4.265625</v>
      </c>
    </row>
    <row r="5" spans="1:87" customFormat="1" ht="75" x14ac:dyDescent="0.25">
      <c r="A5" s="110" t="s">
        <v>192</v>
      </c>
      <c r="B5" s="5">
        <v>813</v>
      </c>
      <c r="C5" s="8" t="s">
        <v>4</v>
      </c>
      <c r="D5" s="8" t="s">
        <v>5</v>
      </c>
      <c r="E5" s="76" t="s">
        <v>174</v>
      </c>
      <c r="F5" s="76"/>
      <c r="G5" s="77" t="s">
        <v>6</v>
      </c>
      <c r="H5" s="77" t="s">
        <v>6</v>
      </c>
      <c r="I5" s="8" t="s">
        <v>7</v>
      </c>
      <c r="J5" s="74" t="s">
        <v>7</v>
      </c>
      <c r="K5" s="74" t="s">
        <v>526</v>
      </c>
      <c r="L5" s="90" t="s">
        <v>600</v>
      </c>
      <c r="M5" s="81">
        <v>750</v>
      </c>
      <c r="N5" s="74" t="s">
        <v>6</v>
      </c>
      <c r="O5" s="74" t="s">
        <v>221</v>
      </c>
      <c r="P5" s="74" t="s">
        <v>221</v>
      </c>
      <c r="Q5" s="81">
        <v>4235</v>
      </c>
      <c r="R5" s="74" t="s">
        <v>222</v>
      </c>
      <c r="S5" s="79">
        <f>(Q5-AA5)/Q5</f>
        <v>5.9031877213695395E-3</v>
      </c>
      <c r="T5" s="80">
        <f>AVERAGE(Q5:Q5)</f>
        <v>4235</v>
      </c>
      <c r="U5" s="81">
        <v>6886</v>
      </c>
      <c r="V5" s="81">
        <v>7200</v>
      </c>
      <c r="W5" s="81">
        <v>7095</v>
      </c>
      <c r="X5" s="81">
        <v>7105</v>
      </c>
      <c r="Y5" s="81">
        <v>3804</v>
      </c>
      <c r="Z5" s="81">
        <v>4270</v>
      </c>
      <c r="AA5" s="81">
        <v>4210</v>
      </c>
      <c r="AB5" s="80">
        <v>3754</v>
      </c>
      <c r="AC5" s="80" t="s">
        <v>222</v>
      </c>
      <c r="AD5" s="80">
        <f>Q5/100*75</f>
        <v>3176.25</v>
      </c>
      <c r="AE5" s="86">
        <v>580</v>
      </c>
      <c r="AF5" s="80" t="s">
        <v>222</v>
      </c>
      <c r="AG5" s="81" t="s">
        <v>263</v>
      </c>
      <c r="AH5" s="86">
        <v>1</v>
      </c>
      <c r="AI5" s="86">
        <v>73</v>
      </c>
      <c r="AJ5" s="80" t="s">
        <v>222</v>
      </c>
      <c r="AK5" s="80">
        <v>0</v>
      </c>
      <c r="AL5" s="86">
        <v>0</v>
      </c>
      <c r="AM5" s="86">
        <v>1</v>
      </c>
      <c r="AN5" s="80" t="s">
        <v>222</v>
      </c>
      <c r="AO5" s="74">
        <v>1</v>
      </c>
      <c r="AP5" s="86">
        <v>26</v>
      </c>
      <c r="AQ5" s="80" t="s">
        <v>222</v>
      </c>
      <c r="AR5" s="74">
        <v>0</v>
      </c>
      <c r="AS5" s="86">
        <v>0</v>
      </c>
      <c r="AT5" s="80" t="s">
        <v>222</v>
      </c>
      <c r="AU5" s="80" t="s">
        <v>6</v>
      </c>
      <c r="AV5" s="80" t="s">
        <v>221</v>
      </c>
      <c r="AW5" s="86" t="s">
        <v>264</v>
      </c>
      <c r="AX5" s="80" t="s">
        <v>6</v>
      </c>
      <c r="AY5" s="88" t="s">
        <v>265</v>
      </c>
      <c r="AZ5" s="74" t="s">
        <v>6</v>
      </c>
      <c r="BA5" s="92">
        <v>2</v>
      </c>
      <c r="BB5" s="92" t="s">
        <v>644</v>
      </c>
      <c r="BC5" s="71" t="s">
        <v>221</v>
      </c>
      <c r="BD5" s="74">
        <v>70</v>
      </c>
      <c r="BE5" s="74">
        <v>70</v>
      </c>
      <c r="BF5" s="74">
        <v>63</v>
      </c>
      <c r="BG5" s="111">
        <v>1500</v>
      </c>
      <c r="BH5" s="74" t="s">
        <v>223</v>
      </c>
      <c r="BI5" s="96">
        <f>BG5/7*50</f>
        <v>10714.285714285714</v>
      </c>
      <c r="BJ5" s="111">
        <v>1200</v>
      </c>
      <c r="BK5" s="111">
        <v>1500</v>
      </c>
      <c r="BL5" s="74">
        <v>0</v>
      </c>
      <c r="BM5" s="74">
        <v>0</v>
      </c>
      <c r="BN5" s="74" t="s">
        <v>222</v>
      </c>
      <c r="BO5" s="74">
        <v>0</v>
      </c>
      <c r="BP5" s="74">
        <v>0</v>
      </c>
      <c r="BQ5" s="104" t="s">
        <v>263</v>
      </c>
      <c r="BR5" s="104" t="s">
        <v>267</v>
      </c>
      <c r="BS5" s="71">
        <f>AD5/100*(47)*12.86</f>
        <v>19197.890249999997</v>
      </c>
      <c r="BT5" s="71">
        <f>AD5/100*(53)*25.73</f>
        <v>43314.203625000002</v>
      </c>
      <c r="BU5" s="71">
        <v>19873.100362500001</v>
      </c>
      <c r="BV5" s="96">
        <f t="shared" si="0"/>
        <v>82385.194237499993</v>
      </c>
      <c r="BW5" s="101">
        <f>BM5*(1-0.25)*(1-0.21)*(1-0.25)*1.2</f>
        <v>0</v>
      </c>
      <c r="BX5" s="101">
        <f>SUBTOTAL(9,BM5,BW5)</f>
        <v>0</v>
      </c>
    </row>
    <row r="6" spans="1:87" customFormat="1" ht="47.1" customHeight="1" x14ac:dyDescent="0.25">
      <c r="A6" s="18" t="s">
        <v>52</v>
      </c>
      <c r="B6" s="5">
        <v>1750</v>
      </c>
      <c r="C6" s="8" t="s">
        <v>4</v>
      </c>
      <c r="D6" s="8" t="s">
        <v>5</v>
      </c>
      <c r="E6" s="76" t="s">
        <v>25</v>
      </c>
      <c r="F6" s="76"/>
      <c r="G6" s="77"/>
      <c r="H6" s="77"/>
      <c r="I6" s="8" t="s">
        <v>53</v>
      </c>
      <c r="J6" s="74"/>
      <c r="K6" s="74"/>
      <c r="L6" s="90"/>
      <c r="M6" s="81"/>
      <c r="N6" s="74"/>
      <c r="O6" s="74"/>
      <c r="P6" s="74"/>
      <c r="Q6" s="81"/>
      <c r="R6" s="74"/>
      <c r="S6" s="79"/>
      <c r="T6" s="80"/>
      <c r="U6" s="81"/>
      <c r="V6" s="81"/>
      <c r="W6" s="81"/>
      <c r="X6" s="81"/>
      <c r="Y6" s="81"/>
      <c r="Z6" s="81"/>
      <c r="AA6" s="81"/>
      <c r="AB6" s="80"/>
      <c r="AC6" s="80"/>
      <c r="AD6" s="80"/>
      <c r="AE6" s="86"/>
      <c r="AF6" s="80"/>
      <c r="AG6" s="81"/>
      <c r="AH6" s="86"/>
      <c r="AI6" s="86"/>
      <c r="AJ6" s="80"/>
      <c r="AK6" s="80"/>
      <c r="AL6" s="86"/>
      <c r="AM6" s="86"/>
      <c r="AN6" s="80"/>
      <c r="AO6" s="74"/>
      <c r="AP6" s="86"/>
      <c r="AQ6" s="80"/>
      <c r="AR6" s="74"/>
      <c r="AS6" s="86"/>
      <c r="AT6" s="80"/>
      <c r="AU6" s="80" t="s">
        <v>6</v>
      </c>
      <c r="AV6" s="80"/>
      <c r="AW6" s="86"/>
      <c r="AX6" s="80"/>
      <c r="AY6" s="88"/>
      <c r="AZ6" s="74" t="s">
        <v>214</v>
      </c>
      <c r="BA6" s="92">
        <v>13.3</v>
      </c>
      <c r="BB6" s="92">
        <v>6.9</v>
      </c>
      <c r="BC6" s="71"/>
      <c r="BD6" s="74"/>
      <c r="BE6" s="74"/>
      <c r="BF6" s="74"/>
      <c r="BG6" s="111"/>
      <c r="BH6" s="74"/>
      <c r="BI6" s="96"/>
      <c r="BJ6" s="111"/>
      <c r="BK6" s="111"/>
      <c r="BL6" s="74"/>
      <c r="BM6" s="74"/>
      <c r="BN6" s="74"/>
      <c r="BO6" s="74"/>
      <c r="BP6" s="74"/>
      <c r="BQ6" s="104"/>
      <c r="BR6" s="104"/>
      <c r="BS6" s="71"/>
      <c r="BT6" s="71"/>
      <c r="BU6" s="71"/>
      <c r="BV6" s="96">
        <f t="shared" si="0"/>
        <v>0</v>
      </c>
      <c r="BW6" s="101"/>
      <c r="BX6" s="101"/>
    </row>
    <row r="7" spans="1:87" customFormat="1" ht="93.6" customHeight="1" x14ac:dyDescent="0.25">
      <c r="A7" s="18" t="s">
        <v>118</v>
      </c>
      <c r="B7" s="5">
        <v>658</v>
      </c>
      <c r="C7" s="8" t="s">
        <v>4</v>
      </c>
      <c r="D7" s="8" t="s">
        <v>5</v>
      </c>
      <c r="E7" s="8" t="s">
        <v>109</v>
      </c>
      <c r="F7" s="8"/>
      <c r="G7" s="77" t="s">
        <v>6</v>
      </c>
      <c r="H7" s="77" t="s">
        <v>6</v>
      </c>
      <c r="I7" s="8" t="s">
        <v>7</v>
      </c>
      <c r="J7" s="74" t="s">
        <v>7</v>
      </c>
      <c r="K7" s="74" t="s">
        <v>526</v>
      </c>
      <c r="L7" s="90" t="s">
        <v>599</v>
      </c>
      <c r="M7" s="81">
        <v>270</v>
      </c>
      <c r="N7" s="74" t="s">
        <v>6</v>
      </c>
      <c r="O7" s="74" t="s">
        <v>221</v>
      </c>
      <c r="P7" s="74" t="s">
        <v>221</v>
      </c>
      <c r="Q7" s="81">
        <v>1261</v>
      </c>
      <c r="R7" s="74" t="s">
        <v>222</v>
      </c>
      <c r="S7" s="79">
        <f>(Q7-AA7)/Q7</f>
        <v>1.4274385408406027E-2</v>
      </c>
      <c r="T7" s="80">
        <f>AVERAGE(Q7:Q7)</f>
        <v>1261</v>
      </c>
      <c r="U7" s="81"/>
      <c r="V7" s="81"/>
      <c r="W7" s="81">
        <v>1650</v>
      </c>
      <c r="X7" s="81">
        <v>1320</v>
      </c>
      <c r="Y7" s="81">
        <v>1193</v>
      </c>
      <c r="Z7" s="81"/>
      <c r="AA7" s="81">
        <v>1243</v>
      </c>
      <c r="AB7" s="80">
        <v>1076</v>
      </c>
      <c r="AC7" s="80" t="s">
        <v>222</v>
      </c>
      <c r="AD7" s="80">
        <f>Q7/100*75</f>
        <v>945.75</v>
      </c>
      <c r="AE7" s="86">
        <v>185</v>
      </c>
      <c r="AF7" s="80" t="s">
        <v>222</v>
      </c>
      <c r="AG7" s="81" t="s">
        <v>75</v>
      </c>
      <c r="AH7" s="86">
        <v>7</v>
      </c>
      <c r="AI7" s="86">
        <v>144</v>
      </c>
      <c r="AJ7" s="80" t="s">
        <v>222</v>
      </c>
      <c r="AK7" s="80">
        <v>0</v>
      </c>
      <c r="AL7" s="86" t="s">
        <v>75</v>
      </c>
      <c r="AM7" s="86">
        <v>4</v>
      </c>
      <c r="AN7" s="80" t="s">
        <v>222</v>
      </c>
      <c r="AO7" s="74">
        <v>2</v>
      </c>
      <c r="AP7" s="86">
        <v>80</v>
      </c>
      <c r="AQ7" s="80" t="s">
        <v>223</v>
      </c>
      <c r="AR7" s="74">
        <v>3</v>
      </c>
      <c r="AS7" s="86">
        <v>210</v>
      </c>
      <c r="AT7" s="80" t="s">
        <v>223</v>
      </c>
      <c r="AU7" s="80" t="s">
        <v>6</v>
      </c>
      <c r="AV7" s="80" t="s">
        <v>6</v>
      </c>
      <c r="AW7" s="86" t="s">
        <v>75</v>
      </c>
      <c r="AX7" s="80" t="s">
        <v>6</v>
      </c>
      <c r="AY7" s="88" t="s">
        <v>75</v>
      </c>
      <c r="AZ7" s="74" t="s">
        <v>6</v>
      </c>
      <c r="BA7" s="92">
        <v>2</v>
      </c>
      <c r="BB7" s="92" t="s">
        <v>644</v>
      </c>
      <c r="BC7" s="71" t="s">
        <v>221</v>
      </c>
      <c r="BD7" s="74">
        <v>70</v>
      </c>
      <c r="BE7" s="74"/>
      <c r="BF7" s="74">
        <v>60</v>
      </c>
      <c r="BG7" s="111">
        <v>3000</v>
      </c>
      <c r="BH7" s="74" t="s">
        <v>223</v>
      </c>
      <c r="BI7" s="96">
        <f>BG7/7*50</f>
        <v>21428.571428571428</v>
      </c>
      <c r="BJ7" s="111"/>
      <c r="BK7" s="111">
        <v>1200</v>
      </c>
      <c r="BL7" s="74">
        <v>0</v>
      </c>
      <c r="BM7" s="74">
        <v>0</v>
      </c>
      <c r="BN7" s="74" t="s">
        <v>75</v>
      </c>
      <c r="BO7" s="74">
        <v>0</v>
      </c>
      <c r="BP7" s="74">
        <v>0</v>
      </c>
      <c r="BQ7" s="104" t="s">
        <v>75</v>
      </c>
      <c r="BR7" s="104" t="s">
        <v>75</v>
      </c>
      <c r="BS7" s="71">
        <f>AD7/100*(47)*11.29</f>
        <v>5018.4332249999998</v>
      </c>
      <c r="BT7" s="71">
        <f>AD7/100*(53)*22.59</f>
        <v>11323.181025</v>
      </c>
      <c r="BU7" s="71">
        <v>7817.2849999999999</v>
      </c>
      <c r="BV7" s="96">
        <f t="shared" si="0"/>
        <v>24158.899249999999</v>
      </c>
      <c r="BW7" s="101">
        <f>BM7*(1-0.25)*(1-0.21)*(1-0.25)*1.2</f>
        <v>0</v>
      </c>
      <c r="BX7" s="101">
        <f>SUBTOTAL(9,BM7,BW7)</f>
        <v>0</v>
      </c>
    </row>
    <row r="8" spans="1:87" customFormat="1" ht="45" x14ac:dyDescent="0.25">
      <c r="A8" s="18" t="s">
        <v>93</v>
      </c>
      <c r="B8" s="5">
        <v>1603</v>
      </c>
      <c r="C8" s="8" t="s">
        <v>30</v>
      </c>
      <c r="D8" s="8" t="s">
        <v>5</v>
      </c>
      <c r="E8" s="8" t="s">
        <v>68</v>
      </c>
      <c r="F8" s="8"/>
      <c r="G8" s="77"/>
      <c r="H8" s="77"/>
      <c r="I8" s="8" t="s">
        <v>94</v>
      </c>
      <c r="J8" s="74"/>
      <c r="K8" s="74"/>
      <c r="L8" s="90"/>
      <c r="M8" s="81"/>
      <c r="N8" s="74"/>
      <c r="O8" s="74"/>
      <c r="P8" s="74"/>
      <c r="Q8" s="81"/>
      <c r="R8" s="74"/>
      <c r="S8" s="79"/>
      <c r="T8" s="80"/>
      <c r="U8" s="81"/>
      <c r="V8" s="81"/>
      <c r="W8" s="81"/>
      <c r="X8" s="81"/>
      <c r="Y8" s="81"/>
      <c r="Z8" s="81"/>
      <c r="AA8" s="81"/>
      <c r="AB8" s="80"/>
      <c r="AC8" s="80"/>
      <c r="AD8" s="80"/>
      <c r="AE8" s="86"/>
      <c r="AF8" s="80"/>
      <c r="AG8" s="81"/>
      <c r="AH8" s="86"/>
      <c r="AI8" s="86"/>
      <c r="AJ8" s="80"/>
      <c r="AK8" s="80"/>
      <c r="AL8" s="86"/>
      <c r="AM8" s="86"/>
      <c r="AN8" s="80"/>
      <c r="AO8" s="74"/>
      <c r="AP8" s="86"/>
      <c r="AQ8" s="80"/>
      <c r="AR8" s="74"/>
      <c r="AS8" s="86"/>
      <c r="AT8" s="80"/>
      <c r="AU8" s="80" t="s">
        <v>6</v>
      </c>
      <c r="AV8" s="80"/>
      <c r="AW8" s="86"/>
      <c r="AX8" s="80"/>
      <c r="AY8" s="88"/>
      <c r="AZ8" s="74" t="s">
        <v>214</v>
      </c>
      <c r="BA8" s="92">
        <v>17.5</v>
      </c>
      <c r="BB8" s="92">
        <v>10.5</v>
      </c>
      <c r="BC8" s="71"/>
      <c r="BD8" s="74"/>
      <c r="BE8" s="74"/>
      <c r="BF8" s="74"/>
      <c r="BG8" s="111"/>
      <c r="BH8" s="74"/>
      <c r="BI8" s="96"/>
      <c r="BJ8" s="111"/>
      <c r="BK8" s="111"/>
      <c r="BL8" s="74"/>
      <c r="BM8" s="74"/>
      <c r="BN8" s="74"/>
      <c r="BO8" s="74"/>
      <c r="BP8" s="74"/>
      <c r="BQ8" s="104"/>
      <c r="BR8" s="104"/>
      <c r="BS8" s="71"/>
      <c r="BT8" s="71"/>
      <c r="BU8" s="71"/>
      <c r="BV8" s="96">
        <f t="shared" si="0"/>
        <v>0</v>
      </c>
      <c r="BW8" s="101"/>
      <c r="BX8" s="101"/>
    </row>
    <row r="9" spans="1:87" customFormat="1" ht="75" x14ac:dyDescent="0.25">
      <c r="A9" s="110" t="s">
        <v>189</v>
      </c>
      <c r="B9" s="5">
        <v>810</v>
      </c>
      <c r="C9" s="8" t="s">
        <v>4</v>
      </c>
      <c r="D9" s="8" t="s">
        <v>5</v>
      </c>
      <c r="E9" s="76" t="s">
        <v>174</v>
      </c>
      <c r="F9" s="76"/>
      <c r="G9" s="77" t="s">
        <v>214</v>
      </c>
      <c r="H9" s="77" t="s">
        <v>6</v>
      </c>
      <c r="I9" s="8" t="s">
        <v>7</v>
      </c>
      <c r="J9" s="74" t="s">
        <v>7</v>
      </c>
      <c r="K9" s="74" t="s">
        <v>526</v>
      </c>
      <c r="L9" s="90" t="s">
        <v>600</v>
      </c>
      <c r="M9" s="81">
        <v>533.5</v>
      </c>
      <c r="N9" s="74" t="s">
        <v>6</v>
      </c>
      <c r="O9" s="74" t="s">
        <v>221</v>
      </c>
      <c r="P9" s="74" t="s">
        <v>221</v>
      </c>
      <c r="Q9" s="81">
        <v>2845</v>
      </c>
      <c r="R9" s="74" t="s">
        <v>222</v>
      </c>
      <c r="S9" s="79">
        <f>(Q9-AA9)/Q9</f>
        <v>0.19050966608084358</v>
      </c>
      <c r="T9" s="80">
        <f>AVERAGE(Q9:Q9)</f>
        <v>2845</v>
      </c>
      <c r="U9" s="81">
        <v>3073</v>
      </c>
      <c r="V9" s="81">
        <v>2274</v>
      </c>
      <c r="W9" s="81">
        <v>1974</v>
      </c>
      <c r="X9" s="81">
        <v>94</v>
      </c>
      <c r="Y9" s="81">
        <v>1989</v>
      </c>
      <c r="Z9" s="81">
        <v>2628</v>
      </c>
      <c r="AA9" s="81">
        <v>2303</v>
      </c>
      <c r="AB9" s="80">
        <v>1998</v>
      </c>
      <c r="AC9" s="80" t="s">
        <v>222</v>
      </c>
      <c r="AD9" s="80">
        <f>Q9/100*75</f>
        <v>2133.75</v>
      </c>
      <c r="AE9" s="86">
        <v>847</v>
      </c>
      <c r="AF9" s="80" t="s">
        <v>222</v>
      </c>
      <c r="AG9" s="81" t="s">
        <v>269</v>
      </c>
      <c r="AH9" s="86">
        <v>12</v>
      </c>
      <c r="AI9" s="86">
        <v>324</v>
      </c>
      <c r="AJ9" s="80" t="s">
        <v>222</v>
      </c>
      <c r="AK9" s="80">
        <v>1</v>
      </c>
      <c r="AL9" s="86">
        <v>32</v>
      </c>
      <c r="AM9" s="86">
        <v>3</v>
      </c>
      <c r="AN9" s="80" t="s">
        <v>222</v>
      </c>
      <c r="AO9" s="74">
        <v>6</v>
      </c>
      <c r="AP9" s="86">
        <v>50</v>
      </c>
      <c r="AQ9" s="80" t="s">
        <v>223</v>
      </c>
      <c r="AR9" s="74">
        <v>8</v>
      </c>
      <c r="AS9" s="86">
        <v>224</v>
      </c>
      <c r="AT9" s="80" t="s">
        <v>223</v>
      </c>
      <c r="AU9" s="80" t="s">
        <v>6</v>
      </c>
      <c r="AV9" s="80" t="s">
        <v>6</v>
      </c>
      <c r="AW9" s="86" t="s">
        <v>266</v>
      </c>
      <c r="AX9" s="80" t="s">
        <v>221</v>
      </c>
      <c r="AY9" s="88" t="s">
        <v>266</v>
      </c>
      <c r="AZ9" s="74" t="s">
        <v>221</v>
      </c>
      <c r="BA9" s="92" t="s">
        <v>266</v>
      </c>
      <c r="BB9" s="92" t="s">
        <v>266</v>
      </c>
      <c r="BC9" s="71" t="s">
        <v>221</v>
      </c>
      <c r="BD9" s="74">
        <v>67</v>
      </c>
      <c r="BE9" s="74">
        <v>70</v>
      </c>
      <c r="BF9" s="74">
        <v>63</v>
      </c>
      <c r="BG9" s="111">
        <v>3850</v>
      </c>
      <c r="BH9" s="74" t="s">
        <v>223</v>
      </c>
      <c r="BI9" s="96">
        <f>BG9/7*50</f>
        <v>27500</v>
      </c>
      <c r="BJ9" s="111">
        <v>2600</v>
      </c>
      <c r="BK9" s="111">
        <v>750</v>
      </c>
      <c r="BL9" s="74">
        <v>1</v>
      </c>
      <c r="BM9" s="74">
        <v>0.05</v>
      </c>
      <c r="BN9" s="74" t="s">
        <v>223</v>
      </c>
      <c r="BO9" s="74">
        <v>0</v>
      </c>
      <c r="BP9" s="74">
        <v>0</v>
      </c>
      <c r="BQ9" s="104" t="s">
        <v>270</v>
      </c>
      <c r="BR9" s="104" t="s">
        <v>271</v>
      </c>
      <c r="BS9" s="71">
        <f>AD9/100*(47)*12.86</f>
        <v>12896.811749999999</v>
      </c>
      <c r="BT9" s="71">
        <f>AD9/100*(53)*25.73</f>
        <v>29097.735374999997</v>
      </c>
      <c r="BU9" s="71">
        <v>18371.284662499998</v>
      </c>
      <c r="BV9" s="96">
        <f t="shared" si="0"/>
        <v>60365.831787499992</v>
      </c>
      <c r="BW9" s="101">
        <f>BM9*(1-0.25)*(1-0.21)*(1-0.25)*1.2</f>
        <v>2.6662500000000002E-2</v>
      </c>
      <c r="BX9" s="101">
        <f>SUBTOTAL(9,BM9,BW9)</f>
        <v>7.6662500000000008E-2</v>
      </c>
      <c r="BY9" s="28"/>
      <c r="BZ9" s="28"/>
      <c r="CA9" s="28"/>
    </row>
    <row r="10" spans="1:87" customFormat="1" ht="62.85" customHeight="1" x14ac:dyDescent="0.25">
      <c r="A10" s="18" t="s">
        <v>76</v>
      </c>
      <c r="B10" s="5">
        <v>654</v>
      </c>
      <c r="C10" s="8" t="s">
        <v>4</v>
      </c>
      <c r="D10" s="8" t="s">
        <v>5</v>
      </c>
      <c r="E10" s="8" t="s">
        <v>68</v>
      </c>
      <c r="F10" s="8" t="s">
        <v>74</v>
      </c>
      <c r="G10" s="77"/>
      <c r="H10" s="77" t="s">
        <v>6</v>
      </c>
      <c r="I10" s="8" t="s">
        <v>9</v>
      </c>
      <c r="J10" s="75"/>
      <c r="K10" s="75"/>
      <c r="L10" s="122"/>
      <c r="M10" s="81"/>
      <c r="N10" s="75"/>
      <c r="O10" s="75"/>
      <c r="P10" s="75"/>
      <c r="Q10" s="81"/>
      <c r="R10" s="74"/>
      <c r="S10" s="79"/>
      <c r="T10" s="80" t="e">
        <f>AVERAGE(Q10:Q10)</f>
        <v>#DIV/0!</v>
      </c>
      <c r="U10" s="81"/>
      <c r="V10" s="81"/>
      <c r="W10" s="81"/>
      <c r="X10" s="81"/>
      <c r="Y10" s="81">
        <v>10040</v>
      </c>
      <c r="Z10" s="81">
        <v>3915</v>
      </c>
      <c r="AA10" s="81">
        <v>16151</v>
      </c>
      <c r="AB10" s="80"/>
      <c r="AC10" s="80"/>
      <c r="AD10" s="80"/>
      <c r="AE10" s="86"/>
      <c r="AF10" s="80"/>
      <c r="AG10" s="81"/>
      <c r="AH10" s="86"/>
      <c r="AI10" s="86"/>
      <c r="AJ10" s="80"/>
      <c r="AK10" s="80"/>
      <c r="AL10" s="86"/>
      <c r="AM10" s="86"/>
      <c r="AN10" s="80"/>
      <c r="AO10" s="75"/>
      <c r="AP10" s="86"/>
      <c r="AQ10" s="80"/>
      <c r="AR10" s="75"/>
      <c r="AS10" s="86"/>
      <c r="AT10" s="80"/>
      <c r="AU10" s="80" t="s">
        <v>6</v>
      </c>
      <c r="AV10" s="80"/>
      <c r="AW10" s="86"/>
      <c r="AX10" s="80"/>
      <c r="AY10" s="88"/>
      <c r="AZ10" s="75" t="s">
        <v>221</v>
      </c>
      <c r="BA10" s="92" t="s">
        <v>266</v>
      </c>
      <c r="BB10" s="92" t="s">
        <v>266</v>
      </c>
      <c r="BC10" s="71"/>
      <c r="BD10" s="74"/>
      <c r="BE10" s="74"/>
      <c r="BF10" s="74" t="s">
        <v>609</v>
      </c>
      <c r="BG10" s="111"/>
      <c r="BH10" s="74"/>
      <c r="BI10" s="96"/>
      <c r="BJ10" s="111"/>
      <c r="BK10" s="111" t="s">
        <v>609</v>
      </c>
      <c r="BL10" s="74"/>
      <c r="BM10" s="74"/>
      <c r="BN10" s="74"/>
      <c r="BO10" s="75" t="s">
        <v>609</v>
      </c>
      <c r="BP10" s="75" t="s">
        <v>609</v>
      </c>
      <c r="BQ10" s="105"/>
      <c r="BR10" s="105"/>
      <c r="BS10" s="71"/>
      <c r="BT10" s="71"/>
      <c r="BU10" s="71"/>
      <c r="BV10" s="96">
        <f t="shared" si="0"/>
        <v>0</v>
      </c>
      <c r="BW10" s="102"/>
      <c r="BX10" s="102"/>
    </row>
    <row r="11" spans="1:87" customFormat="1" ht="75" x14ac:dyDescent="0.25">
      <c r="A11" s="110" t="s">
        <v>213</v>
      </c>
      <c r="B11" s="5">
        <v>2222</v>
      </c>
      <c r="C11" s="8" t="s">
        <v>4</v>
      </c>
      <c r="D11" s="8" t="s">
        <v>5</v>
      </c>
      <c r="E11" s="76" t="s">
        <v>174</v>
      </c>
      <c r="F11" s="76"/>
      <c r="G11" s="77" t="s">
        <v>6</v>
      </c>
      <c r="H11" s="77" t="s">
        <v>6</v>
      </c>
      <c r="I11" s="8" t="s">
        <v>7</v>
      </c>
      <c r="J11" s="74" t="s">
        <v>7</v>
      </c>
      <c r="K11" s="74" t="s">
        <v>526</v>
      </c>
      <c r="L11" s="90" t="s">
        <v>600</v>
      </c>
      <c r="M11" s="81">
        <v>126</v>
      </c>
      <c r="N11" s="74" t="s">
        <v>6</v>
      </c>
      <c r="O11" s="74" t="s">
        <v>6</v>
      </c>
      <c r="P11" s="74" t="s">
        <v>221</v>
      </c>
      <c r="Q11" s="81">
        <v>2320</v>
      </c>
      <c r="R11" s="74" t="s">
        <v>222</v>
      </c>
      <c r="S11" s="79">
        <f>(Q11-AA11)/Q11</f>
        <v>-0.45387931034482759</v>
      </c>
      <c r="T11" s="80">
        <f>AVERAGE(Q11:Q11)</f>
        <v>2320</v>
      </c>
      <c r="U11" s="81">
        <v>2011</v>
      </c>
      <c r="V11" s="81">
        <v>4088</v>
      </c>
      <c r="W11" s="81">
        <v>1956</v>
      </c>
      <c r="X11" s="81">
        <v>1800</v>
      </c>
      <c r="Y11" s="81">
        <v>2730</v>
      </c>
      <c r="Z11" s="81"/>
      <c r="AA11" s="81">
        <v>3373</v>
      </c>
      <c r="AB11" s="80">
        <v>2001</v>
      </c>
      <c r="AC11" s="80" t="s">
        <v>222</v>
      </c>
      <c r="AD11" s="80">
        <f>Q11/100*75</f>
        <v>1740</v>
      </c>
      <c r="AE11" s="86">
        <v>319</v>
      </c>
      <c r="AF11" s="80" t="s">
        <v>222</v>
      </c>
      <c r="AG11" s="81" t="s">
        <v>272</v>
      </c>
      <c r="AH11" s="86">
        <v>12</v>
      </c>
      <c r="AI11" s="86">
        <v>300</v>
      </c>
      <c r="AJ11" s="80" t="s">
        <v>223</v>
      </c>
      <c r="AK11" s="80">
        <v>8</v>
      </c>
      <c r="AL11" s="86">
        <v>200</v>
      </c>
      <c r="AM11" s="86">
        <v>0</v>
      </c>
      <c r="AN11" s="80" t="s">
        <v>222</v>
      </c>
      <c r="AO11" s="74">
        <v>3</v>
      </c>
      <c r="AP11" s="86">
        <v>75</v>
      </c>
      <c r="AQ11" s="80" t="s">
        <v>223</v>
      </c>
      <c r="AR11" s="74">
        <v>0</v>
      </c>
      <c r="AS11" s="86">
        <v>0</v>
      </c>
      <c r="AT11" s="80" t="s">
        <v>222</v>
      </c>
      <c r="AU11" s="80" t="s">
        <v>6</v>
      </c>
      <c r="AV11" s="80" t="s">
        <v>6</v>
      </c>
      <c r="AW11" s="86">
        <v>29989</v>
      </c>
      <c r="AX11" s="80" t="s">
        <v>6</v>
      </c>
      <c r="AY11" s="88">
        <v>3464</v>
      </c>
      <c r="AZ11" s="74" t="s">
        <v>6</v>
      </c>
      <c r="BA11" s="92">
        <v>5</v>
      </c>
      <c r="BB11" s="92" t="s">
        <v>644</v>
      </c>
      <c r="BC11" s="71" t="s">
        <v>221</v>
      </c>
      <c r="BD11" s="74">
        <v>25</v>
      </c>
      <c r="BE11" s="74"/>
      <c r="BF11" s="74">
        <v>29</v>
      </c>
      <c r="BG11" s="111">
        <v>6660</v>
      </c>
      <c r="BH11" s="74" t="s">
        <v>222</v>
      </c>
      <c r="BI11" s="96">
        <f>BG11/7*50</f>
        <v>47571.428571428572</v>
      </c>
      <c r="BJ11" s="111"/>
      <c r="BK11" s="111">
        <v>6960</v>
      </c>
      <c r="BL11" s="74">
        <v>0</v>
      </c>
      <c r="BM11" s="74">
        <v>0</v>
      </c>
      <c r="BN11" s="74" t="s">
        <v>222</v>
      </c>
      <c r="BO11" s="74">
        <v>0</v>
      </c>
      <c r="BP11" s="74">
        <v>0</v>
      </c>
      <c r="BQ11" s="104" t="s">
        <v>75</v>
      </c>
      <c r="BR11" s="104" t="s">
        <v>75</v>
      </c>
      <c r="BS11" s="71">
        <f>AD11/100*(47)*12.86</f>
        <v>10516.907999999999</v>
      </c>
      <c r="BT11" s="71">
        <f>AD11/100*(53)*25.73</f>
        <v>23728.205999999998</v>
      </c>
      <c r="BU11" s="71">
        <v>37954.509249999996</v>
      </c>
      <c r="BV11" s="96">
        <f t="shared" si="0"/>
        <v>72199.623250000004</v>
      </c>
      <c r="BW11" s="101">
        <f>BM11*(1-0.25)*(1-0.21)*(1-0.25)*1.2</f>
        <v>0</v>
      </c>
      <c r="BX11" s="101">
        <f>SUBTOTAL(9,BM11,BW11)</f>
        <v>0</v>
      </c>
    </row>
    <row r="12" spans="1:87" customFormat="1" ht="30" x14ac:dyDescent="0.25">
      <c r="A12" s="18" t="s">
        <v>154</v>
      </c>
      <c r="B12" s="5">
        <v>1047</v>
      </c>
      <c r="C12" s="8" t="s">
        <v>4</v>
      </c>
      <c r="D12" s="8" t="s">
        <v>5</v>
      </c>
      <c r="E12" s="76" t="s">
        <v>137</v>
      </c>
      <c r="F12" s="94"/>
      <c r="G12" s="77"/>
      <c r="H12" s="77"/>
      <c r="I12" s="8" t="s">
        <v>7</v>
      </c>
      <c r="J12" s="74"/>
      <c r="K12" s="74"/>
      <c r="L12" s="90"/>
      <c r="M12" s="81"/>
      <c r="N12" s="74"/>
      <c r="O12" s="74"/>
      <c r="P12" s="74"/>
      <c r="Q12" s="81"/>
      <c r="R12" s="74"/>
      <c r="S12" s="79"/>
      <c r="T12" s="80"/>
      <c r="U12" s="81"/>
      <c r="V12" s="81"/>
      <c r="W12" s="81"/>
      <c r="X12" s="81"/>
      <c r="Y12" s="81"/>
      <c r="Z12" s="81"/>
      <c r="AA12" s="81"/>
      <c r="AB12" s="80"/>
      <c r="AC12" s="80"/>
      <c r="AD12" s="80"/>
      <c r="AE12" s="86"/>
      <c r="AF12" s="80"/>
      <c r="AG12" s="81"/>
      <c r="AH12" s="86"/>
      <c r="AI12" s="86"/>
      <c r="AJ12" s="80"/>
      <c r="AK12" s="80"/>
      <c r="AL12" s="86"/>
      <c r="AM12" s="86"/>
      <c r="AN12" s="80"/>
      <c r="AO12" s="74"/>
      <c r="AP12" s="86"/>
      <c r="AQ12" s="80"/>
      <c r="AR12" s="74"/>
      <c r="AS12" s="86"/>
      <c r="AT12" s="80"/>
      <c r="AU12" s="80" t="s">
        <v>6</v>
      </c>
      <c r="AV12" s="80"/>
      <c r="AW12" s="86"/>
      <c r="AX12" s="80"/>
      <c r="AY12" s="88"/>
      <c r="AZ12" s="74" t="s">
        <v>214</v>
      </c>
      <c r="BA12" s="92">
        <v>2</v>
      </c>
      <c r="BB12" s="92" t="s">
        <v>644</v>
      </c>
      <c r="BC12" s="71"/>
      <c r="BD12" s="74"/>
      <c r="BE12" s="74"/>
      <c r="BF12" s="74"/>
      <c r="BG12" s="111"/>
      <c r="BH12" s="74"/>
      <c r="BI12" s="96"/>
      <c r="BJ12" s="111"/>
      <c r="BK12" s="111"/>
      <c r="BL12" s="74"/>
      <c r="BM12" s="74"/>
      <c r="BN12" s="74"/>
      <c r="BO12" s="74"/>
      <c r="BP12" s="74"/>
      <c r="BQ12" s="104"/>
      <c r="BR12" s="104"/>
      <c r="BS12" s="71"/>
      <c r="BT12" s="71"/>
      <c r="BU12" s="71"/>
      <c r="BV12" s="96">
        <f t="shared" si="0"/>
        <v>0</v>
      </c>
      <c r="BW12" s="101"/>
      <c r="BX12" s="101"/>
    </row>
    <row r="13" spans="1:87" customFormat="1" ht="90" x14ac:dyDescent="0.25">
      <c r="A13" s="18" t="s">
        <v>126</v>
      </c>
      <c r="B13" s="5">
        <v>859</v>
      </c>
      <c r="C13" s="8" t="s">
        <v>4</v>
      </c>
      <c r="D13" s="8" t="s">
        <v>5</v>
      </c>
      <c r="E13" s="8" t="s">
        <v>109</v>
      </c>
      <c r="F13" s="8"/>
      <c r="G13" s="77" t="s">
        <v>214</v>
      </c>
      <c r="H13" s="77" t="s">
        <v>6</v>
      </c>
      <c r="I13" s="8" t="s">
        <v>7</v>
      </c>
      <c r="J13" s="74" t="s">
        <v>7</v>
      </c>
      <c r="K13" s="74" t="s">
        <v>526</v>
      </c>
      <c r="L13" s="90" t="s">
        <v>599</v>
      </c>
      <c r="M13" s="81">
        <v>2050</v>
      </c>
      <c r="N13" s="74" t="s">
        <v>221</v>
      </c>
      <c r="O13" s="74" t="s">
        <v>221</v>
      </c>
      <c r="P13" s="74" t="s">
        <v>221</v>
      </c>
      <c r="Q13" s="81">
        <v>5000</v>
      </c>
      <c r="R13" s="74" t="s">
        <v>223</v>
      </c>
      <c r="S13" s="79">
        <f>(Q13-AA13)/Q13</f>
        <v>-0.73080000000000001</v>
      </c>
      <c r="T13" s="80">
        <f>AVERAGE(Q13:Q13)</f>
        <v>5000</v>
      </c>
      <c r="U13" s="81"/>
      <c r="V13" s="81"/>
      <c r="W13" s="81"/>
      <c r="X13" s="81"/>
      <c r="Y13" s="81">
        <v>9206</v>
      </c>
      <c r="Z13" s="81">
        <v>10157</v>
      </c>
      <c r="AA13" s="81">
        <v>8654</v>
      </c>
      <c r="AB13" s="80">
        <v>3000</v>
      </c>
      <c r="AC13" s="80" t="s">
        <v>223</v>
      </c>
      <c r="AD13" s="80">
        <f>Q13/100*75</f>
        <v>3750</v>
      </c>
      <c r="AE13" s="86">
        <v>2000</v>
      </c>
      <c r="AF13" s="80" t="s">
        <v>223</v>
      </c>
      <c r="AG13" s="81" t="s">
        <v>273</v>
      </c>
      <c r="AH13" s="86">
        <v>15</v>
      </c>
      <c r="AI13" s="86">
        <v>375</v>
      </c>
      <c r="AJ13" s="80" t="s">
        <v>223</v>
      </c>
      <c r="AK13" s="80">
        <v>2</v>
      </c>
      <c r="AL13" s="86">
        <v>40</v>
      </c>
      <c r="AM13" s="86">
        <v>6</v>
      </c>
      <c r="AN13" s="80" t="s">
        <v>222</v>
      </c>
      <c r="AO13" s="74">
        <v>25</v>
      </c>
      <c r="AP13" s="86">
        <v>500</v>
      </c>
      <c r="AQ13" s="80" t="s">
        <v>223</v>
      </c>
      <c r="AR13" s="74">
        <v>10</v>
      </c>
      <c r="AS13" s="86">
        <v>500</v>
      </c>
      <c r="AT13" s="80" t="s">
        <v>223</v>
      </c>
      <c r="AU13" s="80" t="s">
        <v>6</v>
      </c>
      <c r="AV13" s="80" t="s">
        <v>221</v>
      </c>
      <c r="AW13" s="86">
        <v>68000</v>
      </c>
      <c r="AX13" s="80" t="s">
        <v>6</v>
      </c>
      <c r="AY13" s="88">
        <v>2151</v>
      </c>
      <c r="AZ13" s="74" t="s">
        <v>221</v>
      </c>
      <c r="BA13" s="92" t="s">
        <v>266</v>
      </c>
      <c r="BB13" s="92" t="s">
        <v>266</v>
      </c>
      <c r="BC13" s="71" t="s">
        <v>221</v>
      </c>
      <c r="BD13" s="74">
        <v>15</v>
      </c>
      <c r="BE13" s="74">
        <v>30</v>
      </c>
      <c r="BF13" s="74">
        <v>15</v>
      </c>
      <c r="BG13" s="111">
        <v>2300</v>
      </c>
      <c r="BH13" s="74" t="s">
        <v>223</v>
      </c>
      <c r="BI13" s="96">
        <f>BG13/7*50</f>
        <v>16428.571428571428</v>
      </c>
      <c r="BJ13" s="111">
        <v>4000</v>
      </c>
      <c r="BK13" s="111">
        <v>1800</v>
      </c>
      <c r="BL13" s="74">
        <v>2</v>
      </c>
      <c r="BM13" s="74">
        <v>2</v>
      </c>
      <c r="BN13" s="74" t="s">
        <v>222</v>
      </c>
      <c r="BO13" s="74">
        <v>3</v>
      </c>
      <c r="BP13" s="74">
        <v>2.5</v>
      </c>
      <c r="BQ13" s="104" t="s">
        <v>75</v>
      </c>
      <c r="BR13" s="104" t="s">
        <v>274</v>
      </c>
      <c r="BS13" s="71">
        <f>AD13/100*(47)*11.29</f>
        <v>19898.625</v>
      </c>
      <c r="BT13" s="71">
        <f>AD13/100*(53)*22.59</f>
        <v>44897.625</v>
      </c>
      <c r="BU13" s="71">
        <v>27574.3125</v>
      </c>
      <c r="BV13" s="96">
        <f t="shared" si="0"/>
        <v>92370.5625</v>
      </c>
      <c r="BW13" s="101">
        <f>BM13*(1-0.25)*(1-0.21)*(1-0.25)*1.2</f>
        <v>1.0665</v>
      </c>
      <c r="BX13" s="101">
        <f>SUBTOTAL(9,BM13,BW13)</f>
        <v>3.0665</v>
      </c>
    </row>
    <row r="14" spans="1:87" customFormat="1" ht="30" x14ac:dyDescent="0.25">
      <c r="A14" s="18" t="s">
        <v>161</v>
      </c>
      <c r="B14" s="5">
        <v>1749</v>
      </c>
      <c r="C14" s="8" t="s">
        <v>4</v>
      </c>
      <c r="D14" s="8" t="s">
        <v>5</v>
      </c>
      <c r="E14" s="8" t="s">
        <v>137</v>
      </c>
      <c r="F14" s="8"/>
      <c r="G14" s="77"/>
      <c r="H14" s="77"/>
      <c r="I14" s="8" t="s">
        <v>53</v>
      </c>
      <c r="J14" s="74"/>
      <c r="K14" s="74"/>
      <c r="L14" s="90"/>
      <c r="M14" s="81"/>
      <c r="N14" s="74"/>
      <c r="O14" s="74"/>
      <c r="P14" s="74"/>
      <c r="Q14" s="81"/>
      <c r="R14" s="74"/>
      <c r="S14" s="79"/>
      <c r="T14" s="80"/>
      <c r="U14" s="81"/>
      <c r="V14" s="81"/>
      <c r="W14" s="81"/>
      <c r="X14" s="81"/>
      <c r="Y14" s="81"/>
      <c r="Z14" s="81"/>
      <c r="AA14" s="81"/>
      <c r="AB14" s="80"/>
      <c r="AC14" s="80"/>
      <c r="AD14" s="80"/>
      <c r="AE14" s="86"/>
      <c r="AF14" s="80"/>
      <c r="AG14" s="81"/>
      <c r="AH14" s="86"/>
      <c r="AI14" s="86"/>
      <c r="AJ14" s="80"/>
      <c r="AK14" s="80"/>
      <c r="AL14" s="86"/>
      <c r="AM14" s="86"/>
      <c r="AN14" s="80"/>
      <c r="AO14" s="74"/>
      <c r="AP14" s="86"/>
      <c r="AQ14" s="80"/>
      <c r="AR14" s="74"/>
      <c r="AS14" s="86"/>
      <c r="AT14" s="80"/>
      <c r="AU14" s="80" t="s">
        <v>6</v>
      </c>
      <c r="AV14" s="80"/>
      <c r="AW14" s="86"/>
      <c r="AX14" s="80"/>
      <c r="AY14" s="88"/>
      <c r="AZ14" s="74" t="s">
        <v>214</v>
      </c>
      <c r="BA14" s="92">
        <v>13.55</v>
      </c>
      <c r="BB14" s="92">
        <v>6.75</v>
      </c>
      <c r="BC14" s="71"/>
      <c r="BD14" s="74"/>
      <c r="BE14" s="74"/>
      <c r="BF14" s="74"/>
      <c r="BG14" s="111"/>
      <c r="BH14" s="74"/>
      <c r="BI14" s="96"/>
      <c r="BJ14" s="111"/>
      <c r="BK14" s="111"/>
      <c r="BL14" s="74"/>
      <c r="BM14" s="74"/>
      <c r="BN14" s="74"/>
      <c r="BO14" s="74"/>
      <c r="BP14" s="74"/>
      <c r="BQ14" s="104"/>
      <c r="BR14" s="104"/>
      <c r="BS14" s="71"/>
      <c r="BT14" s="71"/>
      <c r="BU14" s="71"/>
      <c r="BV14" s="96">
        <f t="shared" si="0"/>
        <v>0</v>
      </c>
      <c r="BW14" s="101"/>
      <c r="BX14" s="101"/>
    </row>
    <row r="15" spans="1:87" customFormat="1" ht="45" customHeight="1" x14ac:dyDescent="0.25">
      <c r="A15" s="18" t="s">
        <v>87</v>
      </c>
      <c r="B15" s="5">
        <v>690</v>
      </c>
      <c r="C15" s="8" t="s">
        <v>4</v>
      </c>
      <c r="D15" s="8" t="s">
        <v>5</v>
      </c>
      <c r="E15" s="8" t="s">
        <v>68</v>
      </c>
      <c r="F15" s="8" t="s">
        <v>88</v>
      </c>
      <c r="G15" s="77" t="s">
        <v>214</v>
      </c>
      <c r="H15" s="77" t="s">
        <v>6</v>
      </c>
      <c r="I15" s="8" t="s">
        <v>7</v>
      </c>
      <c r="J15" s="74" t="s">
        <v>7</v>
      </c>
      <c r="K15" s="74" t="s">
        <v>527</v>
      </c>
      <c r="L15" s="90" t="s">
        <v>599</v>
      </c>
      <c r="M15" s="81" t="s">
        <v>543</v>
      </c>
      <c r="N15" s="74" t="s">
        <v>6</v>
      </c>
      <c r="O15" s="74" t="s">
        <v>221</v>
      </c>
      <c r="P15" s="74" t="s">
        <v>6</v>
      </c>
      <c r="Q15" s="81">
        <v>12555</v>
      </c>
      <c r="R15" s="74" t="s">
        <v>222</v>
      </c>
      <c r="S15" s="79"/>
      <c r="T15" s="80">
        <f>AVERAGE(Q15:Q15)</f>
        <v>12555</v>
      </c>
      <c r="U15" s="81"/>
      <c r="V15" s="81"/>
      <c r="W15" s="81"/>
      <c r="X15" s="81"/>
      <c r="Y15" s="81"/>
      <c r="Z15" s="81"/>
      <c r="AA15" s="81"/>
      <c r="AB15" s="80">
        <v>6764</v>
      </c>
      <c r="AC15" s="80" t="s">
        <v>222</v>
      </c>
      <c r="AD15" s="80">
        <f>Q15/100*69</f>
        <v>8662.9499999999989</v>
      </c>
      <c r="AE15" s="86">
        <v>5838</v>
      </c>
      <c r="AF15" s="80" t="s">
        <v>222</v>
      </c>
      <c r="AG15" s="81" t="s">
        <v>263</v>
      </c>
      <c r="AH15" s="86">
        <v>79</v>
      </c>
      <c r="AI15" s="86">
        <v>3669</v>
      </c>
      <c r="AJ15" s="80" t="s">
        <v>222</v>
      </c>
      <c r="AK15" s="80">
        <v>1</v>
      </c>
      <c r="AL15" s="86">
        <v>90</v>
      </c>
      <c r="AM15" s="86">
        <v>72</v>
      </c>
      <c r="AN15" s="80" t="s">
        <v>222</v>
      </c>
      <c r="AO15" s="74">
        <v>46</v>
      </c>
      <c r="AP15" s="86">
        <v>3004</v>
      </c>
      <c r="AQ15" s="80" t="s">
        <v>222</v>
      </c>
      <c r="AR15" s="74">
        <v>16</v>
      </c>
      <c r="AS15" s="86">
        <v>1579</v>
      </c>
      <c r="AT15" s="80" t="s">
        <v>222</v>
      </c>
      <c r="AU15" s="80" t="s">
        <v>6</v>
      </c>
      <c r="AV15" s="80" t="s">
        <v>6</v>
      </c>
      <c r="AW15" s="86">
        <v>0</v>
      </c>
      <c r="AX15" s="80" t="s">
        <v>6</v>
      </c>
      <c r="AY15" s="88">
        <v>2263</v>
      </c>
      <c r="AZ15" s="74" t="s">
        <v>6</v>
      </c>
      <c r="BA15" s="92">
        <v>4</v>
      </c>
      <c r="BB15" s="92">
        <v>2</v>
      </c>
      <c r="BC15" s="71" t="s">
        <v>221</v>
      </c>
      <c r="BD15" s="74">
        <v>27</v>
      </c>
      <c r="BE15" s="74"/>
      <c r="BF15" s="74"/>
      <c r="BG15" s="111">
        <v>3436</v>
      </c>
      <c r="BH15" s="74" t="s">
        <v>223</v>
      </c>
      <c r="BI15" s="96">
        <f>BG15/7*50</f>
        <v>24542.857142857141</v>
      </c>
      <c r="BJ15" s="111"/>
      <c r="BK15" s="111"/>
      <c r="BL15" s="74">
        <v>6</v>
      </c>
      <c r="BM15" s="74">
        <v>3.38</v>
      </c>
      <c r="BN15" s="74" t="s">
        <v>222</v>
      </c>
      <c r="BO15" s="74"/>
      <c r="BP15" s="74"/>
      <c r="BQ15" s="104" t="s">
        <v>544</v>
      </c>
      <c r="BR15" s="104" t="s">
        <v>75</v>
      </c>
      <c r="BS15" s="71">
        <f>AD15/100*(44)*12.91</f>
        <v>49209.021179999996</v>
      </c>
      <c r="BT15" s="71">
        <f>AD15/100*(56)*25.82</f>
        <v>125259.32663999998</v>
      </c>
      <c r="BU15" s="71">
        <v>37456.6875</v>
      </c>
      <c r="BV15" s="96">
        <f t="shared" si="0"/>
        <v>211925.03531999997</v>
      </c>
      <c r="BW15" s="101">
        <f>BM15*(1-0.25)*(1-0.26)*(1-0.25)*1.2</f>
        <v>1.6883100000000002</v>
      </c>
      <c r="BX15" s="101">
        <f>SUBTOTAL(9,BM15,BW15)</f>
        <v>5.0683100000000003</v>
      </c>
    </row>
    <row r="16" spans="1:87" customFormat="1" ht="30" x14ac:dyDescent="0.25">
      <c r="A16" s="110" t="s">
        <v>89</v>
      </c>
      <c r="B16" s="5">
        <v>860</v>
      </c>
      <c r="C16" s="8" t="s">
        <v>4</v>
      </c>
      <c r="D16" s="8" t="s">
        <v>5</v>
      </c>
      <c r="E16" s="8" t="s">
        <v>68</v>
      </c>
      <c r="F16" s="8"/>
      <c r="G16" s="77"/>
      <c r="H16" s="77"/>
      <c r="I16" s="8" t="s">
        <v>7</v>
      </c>
      <c r="J16" s="74"/>
      <c r="K16" s="74"/>
      <c r="L16" s="90"/>
      <c r="M16" s="81"/>
      <c r="N16" s="74"/>
      <c r="O16" s="74"/>
      <c r="P16" s="74"/>
      <c r="Q16" s="81"/>
      <c r="R16" s="72"/>
      <c r="S16" s="79"/>
      <c r="T16" s="80"/>
      <c r="U16" s="81"/>
      <c r="V16" s="81"/>
      <c r="W16" s="81"/>
      <c r="X16" s="81"/>
      <c r="Y16" s="81"/>
      <c r="Z16" s="81"/>
      <c r="AA16" s="81"/>
      <c r="AB16" s="80"/>
      <c r="AC16" s="80"/>
      <c r="AD16" s="80"/>
      <c r="AE16" s="86"/>
      <c r="AF16" s="80"/>
      <c r="AG16" s="81"/>
      <c r="AH16" s="86"/>
      <c r="AI16" s="86"/>
      <c r="AJ16" s="80"/>
      <c r="AK16" s="80"/>
      <c r="AL16" s="86"/>
      <c r="AM16" s="86"/>
      <c r="AN16" s="80"/>
      <c r="AO16" s="74"/>
      <c r="AP16" s="86"/>
      <c r="AQ16" s="80"/>
      <c r="AR16" s="74"/>
      <c r="AS16" s="86"/>
      <c r="AT16" s="80"/>
      <c r="AU16" s="80" t="s">
        <v>6</v>
      </c>
      <c r="AV16" s="80"/>
      <c r="AW16" s="86"/>
      <c r="AX16" s="80"/>
      <c r="AY16" s="88"/>
      <c r="AZ16" s="74" t="s">
        <v>295</v>
      </c>
      <c r="BA16" s="92" t="s">
        <v>266</v>
      </c>
      <c r="BB16" s="92" t="s">
        <v>266</v>
      </c>
      <c r="BC16" s="71"/>
      <c r="BD16" s="72"/>
      <c r="BE16" s="72"/>
      <c r="BF16" s="72"/>
      <c r="BG16" s="111"/>
      <c r="BH16" s="72"/>
      <c r="BI16" s="96"/>
      <c r="BJ16" s="111"/>
      <c r="BK16" s="111"/>
      <c r="BL16" s="72"/>
      <c r="BM16" s="72"/>
      <c r="BN16" s="72"/>
      <c r="BO16" s="74"/>
      <c r="BP16" s="74"/>
      <c r="BQ16" s="104"/>
      <c r="BR16" s="104"/>
      <c r="BS16" s="71"/>
      <c r="BT16" s="71"/>
      <c r="BU16" s="71"/>
      <c r="BV16" s="96">
        <f t="shared" si="0"/>
        <v>0</v>
      </c>
      <c r="BW16" s="101"/>
      <c r="BX16" s="101"/>
    </row>
    <row r="17" spans="1:111" customFormat="1" ht="45" customHeight="1" x14ac:dyDescent="0.25">
      <c r="A17" s="66" t="s">
        <v>164</v>
      </c>
      <c r="B17" s="5">
        <v>1779</v>
      </c>
      <c r="C17" s="8" t="s">
        <v>4</v>
      </c>
      <c r="D17" s="72" t="s">
        <v>5</v>
      </c>
      <c r="E17" s="72" t="s">
        <v>137</v>
      </c>
      <c r="F17" s="72"/>
      <c r="G17" s="72" t="s">
        <v>214</v>
      </c>
      <c r="H17" s="72"/>
      <c r="I17" s="74" t="s">
        <v>7</v>
      </c>
      <c r="J17" s="72" t="s">
        <v>7</v>
      </c>
      <c r="K17" s="72" t="s">
        <v>528</v>
      </c>
      <c r="L17" s="85" t="s">
        <v>600</v>
      </c>
      <c r="M17" s="112">
        <v>1500</v>
      </c>
      <c r="N17" s="74" t="s">
        <v>6</v>
      </c>
      <c r="O17" s="74" t="s">
        <v>221</v>
      </c>
      <c r="P17" s="74" t="s">
        <v>6</v>
      </c>
      <c r="Q17" s="112">
        <v>65119</v>
      </c>
      <c r="R17" s="74" t="s">
        <v>222</v>
      </c>
      <c r="S17" s="79"/>
      <c r="T17" s="72">
        <f t="shared" ref="T17:T23" si="1">AVERAGE(Q17:Q17)</f>
        <v>65119</v>
      </c>
      <c r="U17" s="85"/>
      <c r="V17" s="85"/>
      <c r="W17" s="85"/>
      <c r="X17" s="85"/>
      <c r="Y17" s="85"/>
      <c r="Z17" s="85"/>
      <c r="AA17" s="85"/>
      <c r="AB17" s="72">
        <v>45583</v>
      </c>
      <c r="AC17" s="72" t="s">
        <v>223</v>
      </c>
      <c r="AD17" s="72">
        <f>Q17/100*68</f>
        <v>44280.920000000006</v>
      </c>
      <c r="AE17" s="87">
        <v>19536</v>
      </c>
      <c r="AF17" s="72" t="s">
        <v>223</v>
      </c>
      <c r="AG17" s="85" t="s">
        <v>221</v>
      </c>
      <c r="AH17" s="87">
        <v>2</v>
      </c>
      <c r="AI17" s="87">
        <v>60</v>
      </c>
      <c r="AJ17" s="72" t="s">
        <v>223</v>
      </c>
      <c r="AK17" s="72">
        <v>0</v>
      </c>
      <c r="AL17" s="87">
        <v>0</v>
      </c>
      <c r="AM17" s="87">
        <v>0</v>
      </c>
      <c r="AN17" s="72" t="s">
        <v>222</v>
      </c>
      <c r="AO17" s="74">
        <v>1</v>
      </c>
      <c r="AP17" s="87">
        <v>40</v>
      </c>
      <c r="AQ17" s="72" t="s">
        <v>223</v>
      </c>
      <c r="AR17" s="74">
        <v>11</v>
      </c>
      <c r="AS17" s="87">
        <v>4</v>
      </c>
      <c r="AT17" s="72" t="s">
        <v>222</v>
      </c>
      <c r="AU17" s="72" t="s">
        <v>6</v>
      </c>
      <c r="AV17" s="72" t="s">
        <v>6</v>
      </c>
      <c r="AW17" s="87" t="s">
        <v>275</v>
      </c>
      <c r="AX17" s="72" t="s">
        <v>6</v>
      </c>
      <c r="AY17" s="99">
        <v>14617</v>
      </c>
      <c r="AZ17" s="74" t="s">
        <v>6</v>
      </c>
      <c r="BA17" s="92">
        <v>14.75</v>
      </c>
      <c r="BB17" s="92">
        <v>9.99</v>
      </c>
      <c r="BC17" s="71" t="s">
        <v>6</v>
      </c>
      <c r="BD17" s="74">
        <v>80</v>
      </c>
      <c r="BE17" s="74"/>
      <c r="BF17" s="74"/>
      <c r="BG17" s="111">
        <v>25000</v>
      </c>
      <c r="BH17" s="74" t="s">
        <v>223</v>
      </c>
      <c r="BI17" s="96">
        <f>BG17/7*50</f>
        <v>178571.42857142858</v>
      </c>
      <c r="BJ17" s="111"/>
      <c r="BK17" s="111"/>
      <c r="BL17" s="74">
        <v>15</v>
      </c>
      <c r="BM17" s="74">
        <v>9</v>
      </c>
      <c r="BN17" s="74" t="s">
        <v>222</v>
      </c>
      <c r="BO17" s="72"/>
      <c r="BP17" s="72"/>
      <c r="BQ17" s="104" t="s">
        <v>276</v>
      </c>
      <c r="BR17" s="104" t="s">
        <v>75</v>
      </c>
      <c r="BS17" s="71">
        <f>AD17/100*(31)*14.08</f>
        <v>193277.35961600003</v>
      </c>
      <c r="BT17" s="71">
        <f>AD17/100*(69)*28.16</f>
        <v>860395.987968</v>
      </c>
      <c r="BU17" s="71">
        <v>580126.19187500002</v>
      </c>
      <c r="BV17" s="96">
        <f t="shared" si="0"/>
        <v>1633799.5394590001</v>
      </c>
      <c r="BW17" s="101">
        <f>BM17*(1-0.25)*(1-0.25)*(1-0.375)*1.2</f>
        <v>3.796875</v>
      </c>
      <c r="BX17" s="101">
        <f>SUBTOTAL(9,BM17,BW17)</f>
        <v>12.796875</v>
      </c>
    </row>
    <row r="18" spans="1:111" customFormat="1" ht="75" x14ac:dyDescent="0.25">
      <c r="A18" s="110" t="s">
        <v>91</v>
      </c>
      <c r="B18" s="5">
        <v>957</v>
      </c>
      <c r="C18" s="8" t="s">
        <v>4</v>
      </c>
      <c r="D18" s="8" t="s">
        <v>5</v>
      </c>
      <c r="E18" s="8" t="s">
        <v>68</v>
      </c>
      <c r="F18" s="8"/>
      <c r="G18" s="77" t="s">
        <v>6</v>
      </c>
      <c r="H18" s="77" t="s">
        <v>6</v>
      </c>
      <c r="I18" s="8" t="s">
        <v>7</v>
      </c>
      <c r="J18" s="74" t="s">
        <v>7</v>
      </c>
      <c r="K18" s="74" t="s">
        <v>526</v>
      </c>
      <c r="L18" s="90" t="s">
        <v>600</v>
      </c>
      <c r="M18" s="81">
        <v>240</v>
      </c>
      <c r="N18" s="74" t="s">
        <v>221</v>
      </c>
      <c r="O18" s="74" t="s">
        <v>221</v>
      </c>
      <c r="P18" s="74" t="s">
        <v>221</v>
      </c>
      <c r="Q18" s="81">
        <v>1560</v>
      </c>
      <c r="R18" s="74" t="s">
        <v>223</v>
      </c>
      <c r="S18" s="79">
        <f>(Q18-AA18)/Q18</f>
        <v>3.8461538461538464E-2</v>
      </c>
      <c r="T18" s="80">
        <f t="shared" si="1"/>
        <v>1560</v>
      </c>
      <c r="U18" s="81"/>
      <c r="V18" s="81"/>
      <c r="W18" s="81"/>
      <c r="X18" s="81"/>
      <c r="Y18" s="81"/>
      <c r="Z18" s="81"/>
      <c r="AA18" s="81">
        <v>1500</v>
      </c>
      <c r="AB18" s="80">
        <v>1250</v>
      </c>
      <c r="AC18" s="80" t="s">
        <v>223</v>
      </c>
      <c r="AD18" s="80">
        <f>Q18/100*75</f>
        <v>1170</v>
      </c>
      <c r="AE18" s="86">
        <v>250</v>
      </c>
      <c r="AF18" s="80" t="s">
        <v>223</v>
      </c>
      <c r="AG18" s="81" t="s">
        <v>75</v>
      </c>
      <c r="AH18" s="86">
        <v>4</v>
      </c>
      <c r="AI18" s="86">
        <v>92</v>
      </c>
      <c r="AJ18" s="80" t="s">
        <v>222</v>
      </c>
      <c r="AK18" s="80">
        <v>4</v>
      </c>
      <c r="AL18" s="86">
        <v>115</v>
      </c>
      <c r="AM18" s="86">
        <v>2</v>
      </c>
      <c r="AN18" s="80" t="s">
        <v>222</v>
      </c>
      <c r="AO18" s="74">
        <v>10</v>
      </c>
      <c r="AP18" s="86">
        <v>150</v>
      </c>
      <c r="AQ18" s="80" t="s">
        <v>223</v>
      </c>
      <c r="AR18" s="74">
        <v>15</v>
      </c>
      <c r="AS18" s="86">
        <v>200</v>
      </c>
      <c r="AT18" s="80" t="s">
        <v>223</v>
      </c>
      <c r="AU18" s="80" t="s">
        <v>6</v>
      </c>
      <c r="AV18" s="80" t="s">
        <v>6</v>
      </c>
      <c r="AW18" s="86" t="s">
        <v>75</v>
      </c>
      <c r="AX18" s="80" t="s">
        <v>6</v>
      </c>
      <c r="AY18" s="88" t="s">
        <v>75</v>
      </c>
      <c r="AZ18" s="74" t="s">
        <v>221</v>
      </c>
      <c r="BA18" s="92" t="s">
        <v>266</v>
      </c>
      <c r="BB18" s="92" t="s">
        <v>266</v>
      </c>
      <c r="BC18" s="71" t="s">
        <v>221</v>
      </c>
      <c r="BD18" s="74">
        <v>42</v>
      </c>
      <c r="BE18" s="74"/>
      <c r="BF18" s="74">
        <v>35</v>
      </c>
      <c r="BG18" s="111">
        <v>1310</v>
      </c>
      <c r="BH18" s="74" t="s">
        <v>223</v>
      </c>
      <c r="BI18" s="96">
        <f>BG18/7*50</f>
        <v>9357.1428571428569</v>
      </c>
      <c r="BJ18" s="111"/>
      <c r="BK18" s="111">
        <v>2200</v>
      </c>
      <c r="BL18" s="74">
        <v>0</v>
      </c>
      <c r="BM18" s="74">
        <v>0</v>
      </c>
      <c r="BN18" s="74" t="s">
        <v>222</v>
      </c>
      <c r="BO18" s="74">
        <v>0</v>
      </c>
      <c r="BP18" s="74">
        <v>0</v>
      </c>
      <c r="BQ18" s="104" t="s">
        <v>75</v>
      </c>
      <c r="BR18" s="104" t="s">
        <v>277</v>
      </c>
      <c r="BS18" s="71">
        <f>AD18/100*(47)*12.91</f>
        <v>7099.2089999999998</v>
      </c>
      <c r="BT18" s="71">
        <f>AD18/100*(53)*25.82</f>
        <v>16010.981999999998</v>
      </c>
      <c r="BU18" s="71"/>
      <c r="BV18" s="96">
        <f t="shared" si="0"/>
        <v>23110.190999999999</v>
      </c>
      <c r="BW18" s="101">
        <f>BM18*(1-0.25)*(1-0.21)*(1-0.25)*1.2</f>
        <v>0</v>
      </c>
      <c r="BX18" s="101">
        <f>SUBTOTAL(9,BM18,BW18)</f>
        <v>0</v>
      </c>
    </row>
    <row r="19" spans="1:111" customFormat="1" ht="75" x14ac:dyDescent="0.25">
      <c r="A19" s="110" t="s">
        <v>131</v>
      </c>
      <c r="B19" s="5">
        <v>2011</v>
      </c>
      <c r="C19" s="8" t="s">
        <v>4</v>
      </c>
      <c r="D19" s="8" t="s">
        <v>5</v>
      </c>
      <c r="E19" s="8" t="s">
        <v>109</v>
      </c>
      <c r="F19" s="8"/>
      <c r="G19" s="77" t="s">
        <v>214</v>
      </c>
      <c r="H19" s="77" t="s">
        <v>6</v>
      </c>
      <c r="I19" s="8" t="s">
        <v>7</v>
      </c>
      <c r="J19" s="74" t="s">
        <v>7</v>
      </c>
      <c r="K19" s="74" t="s">
        <v>527</v>
      </c>
      <c r="L19" s="90" t="s">
        <v>600</v>
      </c>
      <c r="M19" s="81">
        <v>525</v>
      </c>
      <c r="N19" s="74" t="s">
        <v>6</v>
      </c>
      <c r="O19" s="74" t="s">
        <v>6</v>
      </c>
      <c r="P19" s="74" t="s">
        <v>221</v>
      </c>
      <c r="Q19" s="81">
        <v>11069</v>
      </c>
      <c r="R19" s="74" t="s">
        <v>222</v>
      </c>
      <c r="S19" s="79">
        <f>(Q19-AA19)/Q19</f>
        <v>-0.1468967386394435</v>
      </c>
      <c r="T19" s="80">
        <f t="shared" si="1"/>
        <v>11069</v>
      </c>
      <c r="U19" s="81">
        <v>11772</v>
      </c>
      <c r="V19" s="81">
        <v>11405</v>
      </c>
      <c r="W19" s="81">
        <v>9868</v>
      </c>
      <c r="X19" s="81">
        <v>11800</v>
      </c>
      <c r="Y19" s="81">
        <v>12303</v>
      </c>
      <c r="Z19" s="81">
        <v>11605</v>
      </c>
      <c r="AA19" s="81">
        <v>12695</v>
      </c>
      <c r="AB19" s="80">
        <v>4859</v>
      </c>
      <c r="AC19" s="80" t="s">
        <v>223</v>
      </c>
      <c r="AD19" s="80">
        <f>Q19/100*69</f>
        <v>7637.61</v>
      </c>
      <c r="AE19" s="86">
        <v>6210</v>
      </c>
      <c r="AF19" s="80" t="s">
        <v>223</v>
      </c>
      <c r="AG19" s="81" t="s">
        <v>263</v>
      </c>
      <c r="AH19" s="86">
        <v>83</v>
      </c>
      <c r="AI19" s="86">
        <v>4114</v>
      </c>
      <c r="AJ19" s="80" t="s">
        <v>222</v>
      </c>
      <c r="AK19" s="80">
        <v>35</v>
      </c>
      <c r="AL19" s="86">
        <v>708</v>
      </c>
      <c r="AM19" s="86">
        <v>90</v>
      </c>
      <c r="AN19" s="80" t="s">
        <v>223</v>
      </c>
      <c r="AO19" s="74">
        <v>40</v>
      </c>
      <c r="AP19" s="86">
        <v>1638</v>
      </c>
      <c r="AQ19" s="80" t="s">
        <v>223</v>
      </c>
      <c r="AR19" s="74">
        <v>35</v>
      </c>
      <c r="AS19" s="86">
        <v>708</v>
      </c>
      <c r="AT19" s="80" t="s">
        <v>223</v>
      </c>
      <c r="AU19" s="80" t="s">
        <v>6</v>
      </c>
      <c r="AV19" s="80" t="s">
        <v>6</v>
      </c>
      <c r="AW19" s="86" t="s">
        <v>75</v>
      </c>
      <c r="AX19" s="80" t="s">
        <v>6</v>
      </c>
      <c r="AY19" s="88" t="s">
        <v>278</v>
      </c>
      <c r="AZ19" s="74" t="s">
        <v>6</v>
      </c>
      <c r="BA19" s="92">
        <v>4.75</v>
      </c>
      <c r="BB19" s="92">
        <v>3</v>
      </c>
      <c r="BC19" s="71" t="s">
        <v>6</v>
      </c>
      <c r="BD19" s="74">
        <v>160</v>
      </c>
      <c r="BE19" s="74">
        <v>140</v>
      </c>
      <c r="BF19" s="74">
        <v>120</v>
      </c>
      <c r="BG19" s="111">
        <v>40000</v>
      </c>
      <c r="BH19" s="74" t="s">
        <v>223</v>
      </c>
      <c r="BI19" s="96">
        <f>BG19/7*50</f>
        <v>285714.28571428574</v>
      </c>
      <c r="BJ19" s="111">
        <v>14000</v>
      </c>
      <c r="BK19" s="111">
        <v>14000</v>
      </c>
      <c r="BL19" s="74">
        <v>7</v>
      </c>
      <c r="BM19" s="74">
        <v>5.0199999999999996</v>
      </c>
      <c r="BN19" s="74" t="s">
        <v>222</v>
      </c>
      <c r="BO19" s="74">
        <v>8</v>
      </c>
      <c r="BP19" s="74">
        <v>4</v>
      </c>
      <c r="BQ19" s="104" t="s">
        <v>279</v>
      </c>
      <c r="BR19" s="104" t="s">
        <v>280</v>
      </c>
      <c r="BS19" s="71">
        <f>AD19/100*(44)*11.29</f>
        <v>37940.591435999995</v>
      </c>
      <c r="BT19" s="71">
        <f>AD19/100*(56)*22.59</f>
        <v>96618.821544000006</v>
      </c>
      <c r="BU19" s="71">
        <v>84345.425000000003</v>
      </c>
      <c r="BV19" s="96">
        <f t="shared" si="0"/>
        <v>218904.83798000001</v>
      </c>
      <c r="BW19" s="101">
        <f>BM19*(1-0.25)*(1-0.26)*(1-0.25)*1.2</f>
        <v>2.5074899999999998</v>
      </c>
      <c r="BX19" s="101">
        <f>SUBTOTAL(9,BM19,BW19)</f>
        <v>7.5274899999999993</v>
      </c>
    </row>
    <row r="20" spans="1:111" customFormat="1" ht="75" x14ac:dyDescent="0.25">
      <c r="A20" s="110" t="s">
        <v>90</v>
      </c>
      <c r="B20" s="5">
        <v>866</v>
      </c>
      <c r="C20" s="8" t="s">
        <v>4</v>
      </c>
      <c r="D20" s="8" t="s">
        <v>5</v>
      </c>
      <c r="E20" s="8" t="s">
        <v>68</v>
      </c>
      <c r="F20" s="8"/>
      <c r="G20" s="77" t="s">
        <v>214</v>
      </c>
      <c r="H20" s="77" t="s">
        <v>6</v>
      </c>
      <c r="I20" s="8" t="s">
        <v>7</v>
      </c>
      <c r="J20" s="74" t="s">
        <v>7</v>
      </c>
      <c r="K20" s="74" t="s">
        <v>526</v>
      </c>
      <c r="L20" s="90" t="s">
        <v>600</v>
      </c>
      <c r="M20" s="81">
        <v>400</v>
      </c>
      <c r="N20" s="74" t="s">
        <v>6</v>
      </c>
      <c r="O20" s="74" t="s">
        <v>221</v>
      </c>
      <c r="P20" s="74" t="s">
        <v>221</v>
      </c>
      <c r="Q20" s="81">
        <v>1087</v>
      </c>
      <c r="R20" s="74" t="s">
        <v>222</v>
      </c>
      <c r="S20" s="79">
        <f>(Q20-AA20)/Q20</f>
        <v>9.9356025758969638E-2</v>
      </c>
      <c r="T20" s="80">
        <f t="shared" si="1"/>
        <v>1087</v>
      </c>
      <c r="U20" s="81">
        <v>1707</v>
      </c>
      <c r="V20" s="81">
        <v>1806</v>
      </c>
      <c r="W20" s="81">
        <v>1655</v>
      </c>
      <c r="X20" s="81"/>
      <c r="Y20" s="81">
        <v>1366</v>
      </c>
      <c r="Z20" s="81">
        <v>1325</v>
      </c>
      <c r="AA20" s="81">
        <v>979</v>
      </c>
      <c r="AB20" s="80">
        <v>902</v>
      </c>
      <c r="AC20" s="80" t="s">
        <v>222</v>
      </c>
      <c r="AD20" s="80">
        <f>Q20/100*75</f>
        <v>815.24999999999989</v>
      </c>
      <c r="AE20" s="86">
        <v>185</v>
      </c>
      <c r="AF20" s="80" t="s">
        <v>222</v>
      </c>
      <c r="AG20" s="81" t="s">
        <v>75</v>
      </c>
      <c r="AH20" s="86">
        <v>0</v>
      </c>
      <c r="AI20" s="86">
        <v>0</v>
      </c>
      <c r="AJ20" s="80" t="s">
        <v>222</v>
      </c>
      <c r="AK20" s="80">
        <v>0</v>
      </c>
      <c r="AL20" s="86">
        <v>0</v>
      </c>
      <c r="AM20" s="86">
        <v>0</v>
      </c>
      <c r="AN20" s="80" t="s">
        <v>222</v>
      </c>
      <c r="AO20" s="74">
        <v>9</v>
      </c>
      <c r="AP20" s="86" t="s">
        <v>283</v>
      </c>
      <c r="AQ20" s="80" t="s">
        <v>222</v>
      </c>
      <c r="AR20" s="74">
        <v>9</v>
      </c>
      <c r="AS20" s="86" t="s">
        <v>283</v>
      </c>
      <c r="AT20" s="80" t="s">
        <v>222</v>
      </c>
      <c r="AU20" s="80" t="s">
        <v>6</v>
      </c>
      <c r="AV20" s="80" t="s">
        <v>6</v>
      </c>
      <c r="AW20" s="86" t="s">
        <v>281</v>
      </c>
      <c r="AX20" s="80" t="s">
        <v>6</v>
      </c>
      <c r="AY20" s="88">
        <v>302</v>
      </c>
      <c r="AZ20" s="74" t="s">
        <v>6</v>
      </c>
      <c r="BA20" s="92">
        <v>1.5</v>
      </c>
      <c r="BB20" s="92">
        <v>0.2</v>
      </c>
      <c r="BC20" s="71" t="s">
        <v>6</v>
      </c>
      <c r="BD20" s="74">
        <v>50</v>
      </c>
      <c r="BE20" s="74">
        <v>60</v>
      </c>
      <c r="BF20" s="74">
        <v>51</v>
      </c>
      <c r="BG20" s="111">
        <v>2500</v>
      </c>
      <c r="BH20" s="74" t="s">
        <v>223</v>
      </c>
      <c r="BI20" s="96">
        <f>BG20/7*50</f>
        <v>17857.142857142859</v>
      </c>
      <c r="BJ20" s="111">
        <v>2000</v>
      </c>
      <c r="BK20" s="111">
        <v>2324</v>
      </c>
      <c r="BL20" s="74">
        <v>0</v>
      </c>
      <c r="BM20" s="74">
        <v>0</v>
      </c>
      <c r="BN20" s="74" t="s">
        <v>222</v>
      </c>
      <c r="BO20" s="74">
        <v>0</v>
      </c>
      <c r="BP20" s="74">
        <v>0</v>
      </c>
      <c r="BQ20" s="104" t="s">
        <v>284</v>
      </c>
      <c r="BR20" s="104" t="s">
        <v>285</v>
      </c>
      <c r="BS20" s="71">
        <f>AD20/100*(47)*12.91</f>
        <v>4946.6924249999993</v>
      </c>
      <c r="BT20" s="71">
        <f>AD20/100*(53)*25.82</f>
        <v>11156.370149999999</v>
      </c>
      <c r="BU20" s="71">
        <v>10538.21125</v>
      </c>
      <c r="BV20" s="96">
        <f t="shared" si="0"/>
        <v>26641.273824999997</v>
      </c>
      <c r="BW20" s="101">
        <f>BM20*(1-0.25)*(1-0.21)*(1-0.25)*1.2</f>
        <v>0</v>
      </c>
      <c r="BX20" s="101">
        <f>SUBTOTAL(9,BM20,BW20)</f>
        <v>0</v>
      </c>
    </row>
    <row r="21" spans="1:111" customFormat="1" ht="75" x14ac:dyDescent="0.25">
      <c r="A21" s="113" t="s">
        <v>45</v>
      </c>
      <c r="B21" s="5">
        <v>1473</v>
      </c>
      <c r="C21" s="8" t="s">
        <v>4</v>
      </c>
      <c r="D21" s="8" t="s">
        <v>5</v>
      </c>
      <c r="E21" s="95" t="s">
        <v>25</v>
      </c>
      <c r="F21" s="78"/>
      <c r="G21" s="77" t="s">
        <v>6</v>
      </c>
      <c r="H21" s="77" t="s">
        <v>6</v>
      </c>
      <c r="I21" s="8" t="s">
        <v>7</v>
      </c>
      <c r="J21" s="74" t="s">
        <v>7</v>
      </c>
      <c r="K21" s="74" t="s">
        <v>526</v>
      </c>
      <c r="L21" s="90" t="s">
        <v>600</v>
      </c>
      <c r="M21" s="81">
        <v>390</v>
      </c>
      <c r="N21" s="74" t="s">
        <v>6</v>
      </c>
      <c r="O21" s="74" t="s">
        <v>6</v>
      </c>
      <c r="P21" s="74" t="s">
        <v>221</v>
      </c>
      <c r="Q21" s="81">
        <v>3362</v>
      </c>
      <c r="R21" s="74" t="s">
        <v>222</v>
      </c>
      <c r="S21" s="79">
        <f>(Q21-AA21)/Q21</f>
        <v>0.14663890541344438</v>
      </c>
      <c r="T21" s="80">
        <f t="shared" si="1"/>
        <v>3362</v>
      </c>
      <c r="U21" s="81">
        <v>3471</v>
      </c>
      <c r="V21" s="81">
        <v>2900</v>
      </c>
      <c r="W21" s="81">
        <v>1723</v>
      </c>
      <c r="X21" s="81">
        <v>1134</v>
      </c>
      <c r="Y21" s="81">
        <v>1097</v>
      </c>
      <c r="Z21" s="81">
        <v>2082</v>
      </c>
      <c r="AA21" s="81">
        <v>2869</v>
      </c>
      <c r="AB21" s="80">
        <v>1525</v>
      </c>
      <c r="AC21" s="80" t="s">
        <v>222</v>
      </c>
      <c r="AD21" s="80">
        <f>Q21/100*75</f>
        <v>2521.5</v>
      </c>
      <c r="AE21" s="86">
        <v>1837</v>
      </c>
      <c r="AF21" s="80" t="s">
        <v>222</v>
      </c>
      <c r="AG21" s="81" t="s">
        <v>286</v>
      </c>
      <c r="AH21" s="86">
        <v>4</v>
      </c>
      <c r="AI21" s="86">
        <v>223</v>
      </c>
      <c r="AJ21" s="80" t="s">
        <v>222</v>
      </c>
      <c r="AK21" s="80">
        <v>9</v>
      </c>
      <c r="AL21" s="86">
        <v>524</v>
      </c>
      <c r="AM21" s="86">
        <v>13</v>
      </c>
      <c r="AN21" s="80" t="s">
        <v>222</v>
      </c>
      <c r="AO21" s="74">
        <v>11</v>
      </c>
      <c r="AP21" s="86">
        <v>288</v>
      </c>
      <c r="AQ21" s="80" t="s">
        <v>222</v>
      </c>
      <c r="AR21" s="74">
        <v>0</v>
      </c>
      <c r="AS21" s="86">
        <v>0</v>
      </c>
      <c r="AT21" s="80" t="s">
        <v>222</v>
      </c>
      <c r="AU21" s="80" t="s">
        <v>6</v>
      </c>
      <c r="AV21" s="80" t="s">
        <v>6</v>
      </c>
      <c r="AW21" s="86" t="s">
        <v>287</v>
      </c>
      <c r="AX21" s="80" t="s">
        <v>6</v>
      </c>
      <c r="AY21" s="88">
        <v>1500</v>
      </c>
      <c r="AZ21" s="74" t="s">
        <v>6</v>
      </c>
      <c r="BA21" s="92">
        <v>4</v>
      </c>
      <c r="BB21" s="92">
        <v>2</v>
      </c>
      <c r="BC21" s="71" t="s">
        <v>221</v>
      </c>
      <c r="BD21" s="74">
        <v>70</v>
      </c>
      <c r="BE21" s="74">
        <v>68</v>
      </c>
      <c r="BF21" s="74">
        <v>72</v>
      </c>
      <c r="BG21" s="111">
        <v>4837</v>
      </c>
      <c r="BH21" s="74" t="s">
        <v>222</v>
      </c>
      <c r="BI21" s="96">
        <f>BG21/7*50</f>
        <v>34550</v>
      </c>
      <c r="BJ21" s="111">
        <v>2600</v>
      </c>
      <c r="BK21" s="111">
        <v>4948</v>
      </c>
      <c r="BL21" s="74">
        <v>2</v>
      </c>
      <c r="BM21" s="74">
        <v>0.6</v>
      </c>
      <c r="BN21" s="74" t="s">
        <v>222</v>
      </c>
      <c r="BO21" s="74">
        <v>1</v>
      </c>
      <c r="BP21" s="74">
        <v>0.4</v>
      </c>
      <c r="BQ21" s="104" t="s">
        <v>288</v>
      </c>
      <c r="BR21" s="104" t="s">
        <v>75</v>
      </c>
      <c r="BS21" s="71">
        <f>AD21/100*(47)*17.99</f>
        <v>21320.038949999998</v>
      </c>
      <c r="BT21" s="71">
        <f>AD21/100*(53)*35.98</f>
        <v>48083.492099999996</v>
      </c>
      <c r="BU21" s="71">
        <v>40039.466249999998</v>
      </c>
      <c r="BV21" s="96">
        <f t="shared" si="0"/>
        <v>109442.99729999999</v>
      </c>
      <c r="BW21" s="101">
        <f>BM21*(1-0.25)*(1-0.21)*(1-0.25)*1.2</f>
        <v>0.31995000000000001</v>
      </c>
      <c r="BX21" s="101">
        <f>SUBTOTAL(9,BM21,BW21)</f>
        <v>0.91995000000000005</v>
      </c>
    </row>
    <row r="22" spans="1:111" customFormat="1" ht="30" x14ac:dyDescent="0.25">
      <c r="A22" s="18" t="s">
        <v>128</v>
      </c>
      <c r="B22" s="5">
        <v>1048</v>
      </c>
      <c r="C22" s="8" t="s">
        <v>4</v>
      </c>
      <c r="D22" s="8" t="s">
        <v>5</v>
      </c>
      <c r="E22" s="8" t="s">
        <v>109</v>
      </c>
      <c r="F22" s="8"/>
      <c r="G22" s="77"/>
      <c r="H22" s="77" t="s">
        <v>6</v>
      </c>
      <c r="I22" s="8" t="s">
        <v>7</v>
      </c>
      <c r="J22" s="74"/>
      <c r="K22" s="74"/>
      <c r="L22" s="90"/>
      <c r="M22" s="81"/>
      <c r="N22" s="74"/>
      <c r="O22" s="74"/>
      <c r="P22" s="74"/>
      <c r="Q22" s="81"/>
      <c r="R22" s="74"/>
      <c r="S22" s="79"/>
      <c r="T22" s="80" t="e">
        <f t="shared" si="1"/>
        <v>#DIV/0!</v>
      </c>
      <c r="U22" s="81"/>
      <c r="V22" s="81"/>
      <c r="W22" s="81"/>
      <c r="X22" s="81"/>
      <c r="Y22" s="81"/>
      <c r="Z22" s="81"/>
      <c r="AA22" s="81">
        <v>4211</v>
      </c>
      <c r="AB22" s="80"/>
      <c r="AC22" s="80"/>
      <c r="AD22" s="80"/>
      <c r="AE22" s="86"/>
      <c r="AF22" s="80"/>
      <c r="AG22" s="81"/>
      <c r="AH22" s="86"/>
      <c r="AI22" s="86"/>
      <c r="AJ22" s="80"/>
      <c r="AK22" s="80"/>
      <c r="AL22" s="86"/>
      <c r="AM22" s="86"/>
      <c r="AN22" s="80"/>
      <c r="AO22" s="74"/>
      <c r="AP22" s="86"/>
      <c r="AQ22" s="80"/>
      <c r="AR22" s="74"/>
      <c r="AS22" s="86"/>
      <c r="AT22" s="80"/>
      <c r="AU22" s="80" t="s">
        <v>6</v>
      </c>
      <c r="AV22" s="80"/>
      <c r="AW22" s="86"/>
      <c r="AX22" s="80"/>
      <c r="AY22" s="88"/>
      <c r="AZ22" s="74" t="s">
        <v>295</v>
      </c>
      <c r="BA22" s="92" t="s">
        <v>266</v>
      </c>
      <c r="BB22" s="92" t="s">
        <v>266</v>
      </c>
      <c r="BC22" s="71"/>
      <c r="BD22" s="74"/>
      <c r="BE22" s="74"/>
      <c r="BF22" s="74">
        <v>160</v>
      </c>
      <c r="BG22" s="111"/>
      <c r="BH22" s="74"/>
      <c r="BI22" s="96"/>
      <c r="BJ22" s="111"/>
      <c r="BK22" s="111" t="s">
        <v>266</v>
      </c>
      <c r="BL22" s="74"/>
      <c r="BM22" s="74"/>
      <c r="BN22" s="74"/>
      <c r="BO22" s="74">
        <v>1</v>
      </c>
      <c r="BP22" s="74" t="s">
        <v>351</v>
      </c>
      <c r="BQ22" s="104"/>
      <c r="BR22" s="104"/>
      <c r="BS22" s="71"/>
      <c r="BT22" s="71"/>
      <c r="BU22" s="71"/>
      <c r="BV22" s="96">
        <f t="shared" si="0"/>
        <v>0</v>
      </c>
      <c r="BW22" s="101"/>
      <c r="BX22" s="101"/>
    </row>
    <row r="23" spans="1:111" customFormat="1" ht="165" x14ac:dyDescent="0.25">
      <c r="A23" s="110" t="s">
        <v>39</v>
      </c>
      <c r="B23" s="5">
        <v>697</v>
      </c>
      <c r="C23" s="8" t="s">
        <v>4</v>
      </c>
      <c r="D23" s="8" t="s">
        <v>5</v>
      </c>
      <c r="E23" s="95" t="s">
        <v>25</v>
      </c>
      <c r="F23" s="78"/>
      <c r="G23" s="77" t="s">
        <v>6</v>
      </c>
      <c r="H23" s="77" t="s">
        <v>6</v>
      </c>
      <c r="I23" s="8" t="s">
        <v>7</v>
      </c>
      <c r="J23" s="74" t="s">
        <v>7</v>
      </c>
      <c r="K23" s="74" t="s">
        <v>526</v>
      </c>
      <c r="L23" s="90" t="s">
        <v>599</v>
      </c>
      <c r="M23" s="81">
        <v>259</v>
      </c>
      <c r="N23" s="74" t="s">
        <v>6</v>
      </c>
      <c r="O23" s="74" t="s">
        <v>6</v>
      </c>
      <c r="P23" s="74" t="s">
        <v>221</v>
      </c>
      <c r="Q23" s="81">
        <v>5211</v>
      </c>
      <c r="R23" s="74" t="s">
        <v>223</v>
      </c>
      <c r="S23" s="79">
        <f>(Q23-AA23)/Q23</f>
        <v>-0.17520629437727883</v>
      </c>
      <c r="T23" s="80">
        <f t="shared" si="1"/>
        <v>5211</v>
      </c>
      <c r="U23" s="81">
        <v>4410</v>
      </c>
      <c r="V23" s="81">
        <v>4696</v>
      </c>
      <c r="W23" s="81">
        <v>4004</v>
      </c>
      <c r="X23" s="81">
        <v>4047</v>
      </c>
      <c r="Y23" s="81">
        <v>4767</v>
      </c>
      <c r="Z23" s="81">
        <v>5063</v>
      </c>
      <c r="AA23" s="81">
        <v>6124</v>
      </c>
      <c r="AB23" s="80">
        <v>3296</v>
      </c>
      <c r="AC23" s="80" t="s">
        <v>223</v>
      </c>
      <c r="AD23" s="80">
        <f>Q23/100*75</f>
        <v>3908.25</v>
      </c>
      <c r="AE23" s="86">
        <v>1915</v>
      </c>
      <c r="AF23" s="80" t="s">
        <v>223</v>
      </c>
      <c r="AG23" s="81" t="s">
        <v>75</v>
      </c>
      <c r="AH23" s="86">
        <v>11</v>
      </c>
      <c r="AI23" s="86">
        <v>288</v>
      </c>
      <c r="AJ23" s="80" t="s">
        <v>222</v>
      </c>
      <c r="AK23" s="80">
        <v>0</v>
      </c>
      <c r="AL23" s="86">
        <v>0</v>
      </c>
      <c r="AM23" s="86">
        <v>9</v>
      </c>
      <c r="AN23" s="80" t="s">
        <v>222</v>
      </c>
      <c r="AO23" s="74">
        <v>16</v>
      </c>
      <c r="AP23" s="86">
        <v>517</v>
      </c>
      <c r="AQ23" s="80" t="s">
        <v>222</v>
      </c>
      <c r="AR23" s="74">
        <v>2</v>
      </c>
      <c r="AS23" s="86">
        <v>33</v>
      </c>
      <c r="AT23" s="80" t="s">
        <v>222</v>
      </c>
      <c r="AU23" s="80" t="s">
        <v>6</v>
      </c>
      <c r="AV23" s="80" t="s">
        <v>6</v>
      </c>
      <c r="AW23" s="86">
        <v>20000</v>
      </c>
      <c r="AX23" s="80" t="s">
        <v>6</v>
      </c>
      <c r="AY23" s="88">
        <v>2129</v>
      </c>
      <c r="AZ23" s="74" t="s">
        <v>6</v>
      </c>
      <c r="BA23" s="92">
        <v>3.5</v>
      </c>
      <c r="BB23" s="92">
        <v>1.5</v>
      </c>
      <c r="BC23" s="71" t="s">
        <v>6</v>
      </c>
      <c r="BD23" s="74">
        <v>77</v>
      </c>
      <c r="BE23" s="74">
        <v>75</v>
      </c>
      <c r="BF23" s="74">
        <v>75</v>
      </c>
      <c r="BG23" s="111">
        <v>5664</v>
      </c>
      <c r="BH23" s="74" t="s">
        <v>222</v>
      </c>
      <c r="BI23" s="96">
        <f>BG23/7*50</f>
        <v>40457.142857142855</v>
      </c>
      <c r="BJ23" s="111">
        <v>7000</v>
      </c>
      <c r="BK23" s="111">
        <v>5426</v>
      </c>
      <c r="BL23" s="74">
        <v>1</v>
      </c>
      <c r="BM23" s="74">
        <v>1</v>
      </c>
      <c r="BN23" s="74" t="s">
        <v>222</v>
      </c>
      <c r="BO23" s="74">
        <v>2</v>
      </c>
      <c r="BP23" s="74">
        <v>1</v>
      </c>
      <c r="BQ23" s="104" t="s">
        <v>289</v>
      </c>
      <c r="BR23" s="104" t="s">
        <v>290</v>
      </c>
      <c r="BS23" s="71">
        <f>AD23/100*(47)*17.99</f>
        <v>33045.426224999996</v>
      </c>
      <c r="BT23" s="71">
        <f>AD23/100*(53)*35.98</f>
        <v>74527.982549999986</v>
      </c>
      <c r="BU23" s="71">
        <v>39910.394999999997</v>
      </c>
      <c r="BV23" s="96">
        <f t="shared" si="0"/>
        <v>147483.80377499998</v>
      </c>
      <c r="BW23" s="101">
        <f>BM23*(1-0.25)*(1-0.21)*(1-0.25)*1.2</f>
        <v>0.53325</v>
      </c>
      <c r="BX23" s="101">
        <f>SUBTOTAL(9,BM23,BW23)</f>
        <v>1.53325</v>
      </c>
    </row>
    <row r="24" spans="1:111" customFormat="1" ht="30" x14ac:dyDescent="0.25">
      <c r="A24" s="18" t="s">
        <v>10</v>
      </c>
      <c r="B24" s="5">
        <v>699</v>
      </c>
      <c r="C24" s="8" t="s">
        <v>4</v>
      </c>
      <c r="D24" s="8" t="s">
        <v>5</v>
      </c>
      <c r="E24" s="95" t="s">
        <v>11</v>
      </c>
      <c r="F24" s="78" t="s">
        <v>665</v>
      </c>
      <c r="G24" s="77" t="s">
        <v>214</v>
      </c>
      <c r="H24" s="77"/>
      <c r="I24" s="8" t="s">
        <v>9</v>
      </c>
      <c r="J24" s="74"/>
      <c r="K24" s="74"/>
      <c r="L24" s="90"/>
      <c r="M24" s="81"/>
      <c r="N24" s="74"/>
      <c r="O24" s="74"/>
      <c r="P24" s="74"/>
      <c r="Q24" s="81"/>
      <c r="R24" s="72"/>
      <c r="S24" s="79"/>
      <c r="T24" s="80"/>
      <c r="U24" s="81"/>
      <c r="V24" s="81"/>
      <c r="W24" s="81"/>
      <c r="X24" s="81"/>
      <c r="Y24" s="81"/>
      <c r="Z24" s="81"/>
      <c r="AA24" s="81"/>
      <c r="AB24" s="80"/>
      <c r="AC24" s="80"/>
      <c r="AD24" s="80"/>
      <c r="AE24" s="86"/>
      <c r="AF24" s="80"/>
      <c r="AG24" s="81"/>
      <c r="AH24" s="86"/>
      <c r="AI24" s="86"/>
      <c r="AJ24" s="80"/>
      <c r="AK24" s="80"/>
      <c r="AL24" s="86"/>
      <c r="AM24" s="86"/>
      <c r="AN24" s="80"/>
      <c r="AO24" s="74"/>
      <c r="AP24" s="86"/>
      <c r="AQ24" s="80"/>
      <c r="AR24" s="74"/>
      <c r="AS24" s="86"/>
      <c r="AT24" s="80"/>
      <c r="AU24" s="80" t="s">
        <v>6</v>
      </c>
      <c r="AV24" s="80"/>
      <c r="AW24" s="86"/>
      <c r="AX24" s="80"/>
      <c r="AY24" s="88"/>
      <c r="AZ24" s="74" t="s">
        <v>295</v>
      </c>
      <c r="BA24" s="92" t="s">
        <v>266</v>
      </c>
      <c r="BB24" s="92" t="s">
        <v>266</v>
      </c>
      <c r="BC24" s="71"/>
      <c r="BD24" s="72"/>
      <c r="BE24" s="72"/>
      <c r="BF24" s="72"/>
      <c r="BG24" s="111"/>
      <c r="BH24" s="72"/>
      <c r="BI24" s="96"/>
      <c r="BJ24" s="111"/>
      <c r="BK24" s="111"/>
      <c r="BL24" s="72"/>
      <c r="BM24" s="72"/>
      <c r="BN24" s="72"/>
      <c r="BO24" s="74"/>
      <c r="BP24" s="74"/>
      <c r="BQ24" s="104"/>
      <c r="BR24" s="104"/>
      <c r="BS24" s="71"/>
      <c r="BT24" s="71"/>
      <c r="BU24" s="71"/>
      <c r="BV24" s="96">
        <f t="shared" si="0"/>
        <v>0</v>
      </c>
      <c r="BW24" s="101"/>
      <c r="BX24" s="101"/>
    </row>
    <row r="25" spans="1:111" customFormat="1" ht="45" x14ac:dyDescent="0.25">
      <c r="A25" s="18" t="s">
        <v>61</v>
      </c>
      <c r="B25" s="5" t="s">
        <v>62</v>
      </c>
      <c r="C25" s="8" t="s">
        <v>63</v>
      </c>
      <c r="D25" s="8" t="s">
        <v>5</v>
      </c>
      <c r="E25" s="95" t="s">
        <v>25</v>
      </c>
      <c r="F25" s="78"/>
      <c r="G25" s="77"/>
      <c r="H25" s="77" t="s">
        <v>6</v>
      </c>
      <c r="I25" s="74" t="s">
        <v>7</v>
      </c>
      <c r="J25" s="74"/>
      <c r="K25" s="74"/>
      <c r="L25" s="90"/>
      <c r="M25" s="81"/>
      <c r="N25" s="74"/>
      <c r="O25" s="74"/>
      <c r="P25" s="74"/>
      <c r="Q25" s="81"/>
      <c r="R25" s="74"/>
      <c r="S25" s="79"/>
      <c r="T25" s="80" t="e">
        <f t="shared" ref="T25:T44" si="2">AVERAGE(Q25:Q25)</f>
        <v>#DIV/0!</v>
      </c>
      <c r="U25" s="81"/>
      <c r="V25" s="81"/>
      <c r="W25" s="81"/>
      <c r="X25" s="81"/>
      <c r="Y25" s="81"/>
      <c r="Z25" s="81"/>
      <c r="AA25" s="81">
        <v>16600</v>
      </c>
      <c r="AB25" s="80"/>
      <c r="AC25" s="80"/>
      <c r="AD25" s="80">
        <f>Q25/100*73</f>
        <v>0</v>
      </c>
      <c r="AE25" s="86"/>
      <c r="AF25" s="80"/>
      <c r="AG25" s="81"/>
      <c r="AH25" s="86"/>
      <c r="AI25" s="86"/>
      <c r="AJ25" s="80"/>
      <c r="AK25" s="80"/>
      <c r="AL25" s="86"/>
      <c r="AM25" s="86"/>
      <c r="AN25" s="80"/>
      <c r="AO25" s="74"/>
      <c r="AP25" s="86"/>
      <c r="AQ25" s="80"/>
      <c r="AR25" s="74"/>
      <c r="AS25" s="86"/>
      <c r="AT25" s="80"/>
      <c r="AU25" s="80" t="s">
        <v>6</v>
      </c>
      <c r="AV25" s="80"/>
      <c r="AW25" s="86"/>
      <c r="AX25" s="80"/>
      <c r="AY25" s="88"/>
      <c r="AZ25" s="74" t="s">
        <v>214</v>
      </c>
      <c r="BA25" s="92">
        <v>8</v>
      </c>
      <c r="BB25" s="92">
        <v>6</v>
      </c>
      <c r="BC25" s="71"/>
      <c r="BD25" s="74"/>
      <c r="BE25" s="74"/>
      <c r="BF25" s="74">
        <v>30</v>
      </c>
      <c r="BG25" s="111"/>
      <c r="BH25" s="74"/>
      <c r="BI25" s="96">
        <f>BG25/7*50</f>
        <v>0</v>
      </c>
      <c r="BJ25" s="111"/>
      <c r="BK25" s="111">
        <v>1750</v>
      </c>
      <c r="BL25" s="74"/>
      <c r="BM25" s="74"/>
      <c r="BN25" s="74"/>
      <c r="BO25" s="74">
        <v>6</v>
      </c>
      <c r="BP25" s="74">
        <v>4</v>
      </c>
      <c r="BQ25" s="104"/>
      <c r="BR25" s="104"/>
      <c r="BS25" s="71"/>
      <c r="BT25" s="71"/>
      <c r="BU25" s="71"/>
      <c r="BV25" s="96">
        <f t="shared" si="0"/>
        <v>0</v>
      </c>
      <c r="BW25" s="101"/>
      <c r="BX25" s="101"/>
    </row>
    <row r="26" spans="1:111" customFormat="1" ht="75" x14ac:dyDescent="0.25">
      <c r="A26" s="110" t="s">
        <v>44</v>
      </c>
      <c r="B26" s="5">
        <v>1423</v>
      </c>
      <c r="C26" s="8" t="s">
        <v>4</v>
      </c>
      <c r="D26" s="8" t="s">
        <v>5</v>
      </c>
      <c r="E26" s="95" t="s">
        <v>25</v>
      </c>
      <c r="F26" s="78"/>
      <c r="G26" s="77" t="s">
        <v>6</v>
      </c>
      <c r="H26" s="77" t="s">
        <v>6</v>
      </c>
      <c r="I26" s="8" t="s">
        <v>7</v>
      </c>
      <c r="J26" s="74" t="s">
        <v>9</v>
      </c>
      <c r="K26" s="74" t="s">
        <v>526</v>
      </c>
      <c r="L26" s="90" t="s">
        <v>599</v>
      </c>
      <c r="M26" s="81">
        <v>400</v>
      </c>
      <c r="N26" s="74" t="s">
        <v>6</v>
      </c>
      <c r="O26" s="74" t="s">
        <v>221</v>
      </c>
      <c r="P26" s="74" t="s">
        <v>221</v>
      </c>
      <c r="Q26" s="81">
        <v>972</v>
      </c>
      <c r="R26" s="74" t="s">
        <v>222</v>
      </c>
      <c r="S26" s="79">
        <f>(Q26-AA26)/Q26</f>
        <v>-0.18415637860082304</v>
      </c>
      <c r="T26" s="80">
        <f t="shared" si="2"/>
        <v>972</v>
      </c>
      <c r="U26" s="81">
        <v>1151</v>
      </c>
      <c r="V26" s="81">
        <v>1127</v>
      </c>
      <c r="W26" s="81">
        <v>1308</v>
      </c>
      <c r="X26" s="81">
        <v>827</v>
      </c>
      <c r="Y26" s="81">
        <v>749</v>
      </c>
      <c r="Z26" s="81">
        <v>1089</v>
      </c>
      <c r="AA26" s="81">
        <v>1151</v>
      </c>
      <c r="AB26" s="80">
        <v>808</v>
      </c>
      <c r="AC26" s="80" t="s">
        <v>222</v>
      </c>
      <c r="AD26" s="80">
        <f>Q26/100*75</f>
        <v>729</v>
      </c>
      <c r="AE26" s="86">
        <v>164</v>
      </c>
      <c r="AF26" s="80" t="s">
        <v>222</v>
      </c>
      <c r="AG26" s="81" t="s">
        <v>221</v>
      </c>
      <c r="AH26" s="86">
        <v>5</v>
      </c>
      <c r="AI26" s="86">
        <v>88</v>
      </c>
      <c r="AJ26" s="80" t="s">
        <v>222</v>
      </c>
      <c r="AK26" s="80">
        <v>6</v>
      </c>
      <c r="AL26" s="86">
        <v>111</v>
      </c>
      <c r="AM26" s="86">
        <v>6</v>
      </c>
      <c r="AN26" s="80" t="s">
        <v>223</v>
      </c>
      <c r="AO26" s="74">
        <v>6</v>
      </c>
      <c r="AP26" s="86">
        <v>54</v>
      </c>
      <c r="AQ26" s="80" t="s">
        <v>223</v>
      </c>
      <c r="AR26" s="74">
        <v>7</v>
      </c>
      <c r="AS26" s="86">
        <v>72</v>
      </c>
      <c r="AT26" s="80" t="s">
        <v>223</v>
      </c>
      <c r="AU26" s="80" t="s">
        <v>6</v>
      </c>
      <c r="AV26" s="80" t="s">
        <v>6</v>
      </c>
      <c r="AW26" s="86">
        <v>4998</v>
      </c>
      <c r="AX26" s="80" t="s">
        <v>6</v>
      </c>
      <c r="AY26" s="88">
        <v>200</v>
      </c>
      <c r="AZ26" s="74" t="s">
        <v>221</v>
      </c>
      <c r="BA26" s="92" t="s">
        <v>266</v>
      </c>
      <c r="BB26" s="92" t="s">
        <v>266</v>
      </c>
      <c r="BC26" s="71" t="s">
        <v>221</v>
      </c>
      <c r="BD26" s="74">
        <v>25</v>
      </c>
      <c r="BE26" s="74">
        <v>10</v>
      </c>
      <c r="BF26" s="74">
        <v>25</v>
      </c>
      <c r="BG26" s="111">
        <v>3008</v>
      </c>
      <c r="BH26" s="74" t="s">
        <v>222</v>
      </c>
      <c r="BI26" s="96">
        <f>BG26/7*50</f>
        <v>21485.714285714286</v>
      </c>
      <c r="BJ26" s="111">
        <v>1582</v>
      </c>
      <c r="BK26" s="111">
        <v>3002</v>
      </c>
      <c r="BL26" s="74">
        <v>0</v>
      </c>
      <c r="BM26" s="74">
        <v>0</v>
      </c>
      <c r="BN26" s="74" t="s">
        <v>75</v>
      </c>
      <c r="BO26" s="74">
        <v>0</v>
      </c>
      <c r="BP26" s="74">
        <v>0</v>
      </c>
      <c r="BQ26" s="104" t="s">
        <v>291</v>
      </c>
      <c r="BR26" s="104" t="s">
        <v>292</v>
      </c>
      <c r="BS26" s="71">
        <f>AD26/100*(47)*17.99</f>
        <v>6163.9136999999992</v>
      </c>
      <c r="BT26" s="71">
        <f>AD26/100*(53)*35.98</f>
        <v>13901.592599999998</v>
      </c>
      <c r="BU26" s="71">
        <v>5451.9435249999997</v>
      </c>
      <c r="BV26" s="96">
        <f t="shared" si="0"/>
        <v>25517.449824999996</v>
      </c>
      <c r="BW26" s="101">
        <f>BM26*(1-0.25)*(1-0.21)*(1-0.25)*1.2</f>
        <v>0</v>
      </c>
      <c r="BX26" s="101">
        <f>SUBTOTAL(9,BM26,BW26)</f>
        <v>0</v>
      </c>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row>
    <row r="27" spans="1:111" customFormat="1" ht="60" x14ac:dyDescent="0.25">
      <c r="A27" s="18" t="s">
        <v>70</v>
      </c>
      <c r="B27" s="5">
        <v>579</v>
      </c>
      <c r="C27" s="8" t="s">
        <v>4</v>
      </c>
      <c r="D27" s="8" t="s">
        <v>5</v>
      </c>
      <c r="E27" s="8" t="s">
        <v>68</v>
      </c>
      <c r="F27" s="8" t="s">
        <v>71</v>
      </c>
      <c r="G27" s="77" t="s">
        <v>6</v>
      </c>
      <c r="H27" s="77" t="s">
        <v>6</v>
      </c>
      <c r="I27" s="8" t="s">
        <v>9</v>
      </c>
      <c r="J27" s="74" t="s">
        <v>9</v>
      </c>
      <c r="K27" s="74" t="s">
        <v>528</v>
      </c>
      <c r="L27" s="90" t="s">
        <v>599</v>
      </c>
      <c r="M27" s="81">
        <v>1948</v>
      </c>
      <c r="N27" s="74" t="s">
        <v>6</v>
      </c>
      <c r="O27" s="74" t="s">
        <v>6</v>
      </c>
      <c r="P27" s="74" t="s">
        <v>221</v>
      </c>
      <c r="Q27" s="81">
        <v>55801</v>
      </c>
      <c r="R27" s="74" t="s">
        <v>222</v>
      </c>
      <c r="S27" s="79">
        <f>(Q27-AA27)/Q27</f>
        <v>-9.1718786401677382E-2</v>
      </c>
      <c r="T27" s="80">
        <f t="shared" si="2"/>
        <v>55801</v>
      </c>
      <c r="U27" s="81">
        <v>37587</v>
      </c>
      <c r="V27" s="81">
        <v>51026</v>
      </c>
      <c r="W27" s="81">
        <v>62321</v>
      </c>
      <c r="X27" s="81">
        <v>59118</v>
      </c>
      <c r="Y27" s="81">
        <v>61130</v>
      </c>
      <c r="Z27" s="81">
        <v>61965</v>
      </c>
      <c r="AA27" s="81">
        <v>60919</v>
      </c>
      <c r="AB27" s="80" t="s">
        <v>75</v>
      </c>
      <c r="AC27" s="80" t="s">
        <v>75</v>
      </c>
      <c r="AD27" s="80">
        <f>Q27/100*68</f>
        <v>37944.68</v>
      </c>
      <c r="AE27" s="86" t="s">
        <v>75</v>
      </c>
      <c r="AF27" s="80" t="s">
        <v>75</v>
      </c>
      <c r="AG27" s="81" t="s">
        <v>264</v>
      </c>
      <c r="AH27" s="86" t="s">
        <v>75</v>
      </c>
      <c r="AI27" s="86">
        <v>7872</v>
      </c>
      <c r="AJ27" s="80" t="s">
        <v>222</v>
      </c>
      <c r="AK27" s="80" t="s">
        <v>75</v>
      </c>
      <c r="AL27" s="86">
        <v>5256</v>
      </c>
      <c r="AM27" s="86">
        <v>80</v>
      </c>
      <c r="AN27" s="80" t="s">
        <v>223</v>
      </c>
      <c r="AO27" s="74">
        <v>87</v>
      </c>
      <c r="AP27" s="86" t="s">
        <v>75</v>
      </c>
      <c r="AQ27" s="80" t="s">
        <v>222</v>
      </c>
      <c r="AR27" s="74">
        <v>15</v>
      </c>
      <c r="AS27" s="86" t="s">
        <v>75</v>
      </c>
      <c r="AT27" s="80" t="s">
        <v>223</v>
      </c>
      <c r="AU27" s="80" t="s">
        <v>6</v>
      </c>
      <c r="AV27" s="80" t="s">
        <v>6</v>
      </c>
      <c r="AW27" s="86">
        <v>36930</v>
      </c>
      <c r="AX27" s="80" t="s">
        <v>6</v>
      </c>
      <c r="AY27" s="88">
        <v>2361</v>
      </c>
      <c r="AZ27" s="74" t="s">
        <v>221</v>
      </c>
      <c r="BA27" s="92" t="s">
        <v>266</v>
      </c>
      <c r="BB27" s="92" t="s">
        <v>266</v>
      </c>
      <c r="BC27" s="71" t="s">
        <v>221</v>
      </c>
      <c r="BD27" s="74">
        <v>64</v>
      </c>
      <c r="BE27" s="74">
        <v>70</v>
      </c>
      <c r="BF27" s="74"/>
      <c r="BG27" s="111">
        <v>3306</v>
      </c>
      <c r="BH27" s="74" t="s">
        <v>223</v>
      </c>
      <c r="BI27" s="96">
        <f>BG27/7*50</f>
        <v>23614.285714285714</v>
      </c>
      <c r="BJ27" s="111">
        <v>5500</v>
      </c>
      <c r="BK27" s="111"/>
      <c r="BL27" s="74">
        <v>25</v>
      </c>
      <c r="BM27" s="74">
        <v>12</v>
      </c>
      <c r="BN27" s="74" t="s">
        <v>222</v>
      </c>
      <c r="BO27" s="74" t="s">
        <v>75</v>
      </c>
      <c r="BP27" s="74" t="s">
        <v>75</v>
      </c>
      <c r="BQ27" s="104" t="s">
        <v>293</v>
      </c>
      <c r="BR27" s="104" t="s">
        <v>294</v>
      </c>
      <c r="BS27" s="71">
        <f>AD27/100*(31)*12.91</f>
        <v>151858.40382800001</v>
      </c>
      <c r="BT27" s="71">
        <f>AD27/100*(69)*25.82</f>
        <v>676014.829944</v>
      </c>
      <c r="BU27" s="71">
        <v>276529.86249999999</v>
      </c>
      <c r="BV27" s="96">
        <f t="shared" si="0"/>
        <v>1104403.0962720001</v>
      </c>
      <c r="BW27" s="101">
        <f>BM27*(1-0.25)*(1-0.25)*(1-0.375)*1.2</f>
        <v>5.0625</v>
      </c>
      <c r="BX27" s="101">
        <f>SUBTOTAL(9,BM27,BW27)</f>
        <v>17.0625</v>
      </c>
    </row>
    <row r="28" spans="1:111" customFormat="1" ht="60" x14ac:dyDescent="0.25">
      <c r="A28" s="110" t="s">
        <v>185</v>
      </c>
      <c r="B28" s="5">
        <v>731</v>
      </c>
      <c r="C28" s="8" t="s">
        <v>4</v>
      </c>
      <c r="D28" s="8" t="s">
        <v>5</v>
      </c>
      <c r="E28" s="8" t="s">
        <v>174</v>
      </c>
      <c r="F28" s="8" t="s">
        <v>83</v>
      </c>
      <c r="G28" s="77" t="s">
        <v>214</v>
      </c>
      <c r="H28" s="77" t="s">
        <v>6</v>
      </c>
      <c r="I28" s="8" t="s">
        <v>9</v>
      </c>
      <c r="J28" s="74" t="s">
        <v>9</v>
      </c>
      <c r="K28" s="74" t="s">
        <v>527</v>
      </c>
      <c r="L28" s="90" t="s">
        <v>599</v>
      </c>
      <c r="M28" s="81" t="s">
        <v>542</v>
      </c>
      <c r="N28" s="74" t="s">
        <v>6</v>
      </c>
      <c r="O28" s="74" t="s">
        <v>221</v>
      </c>
      <c r="P28" s="74" t="s">
        <v>6</v>
      </c>
      <c r="Q28" s="81">
        <v>39338</v>
      </c>
      <c r="R28" s="74" t="s">
        <v>222</v>
      </c>
      <c r="S28" s="79">
        <f>(Q28-AA28)/Q28</f>
        <v>-0.45147185927093397</v>
      </c>
      <c r="T28" s="80">
        <f t="shared" si="2"/>
        <v>39338</v>
      </c>
      <c r="U28" s="81">
        <v>58099</v>
      </c>
      <c r="V28" s="81">
        <v>67671</v>
      </c>
      <c r="W28" s="81">
        <v>59859</v>
      </c>
      <c r="X28" s="81">
        <v>60127</v>
      </c>
      <c r="Y28" s="81">
        <v>57196</v>
      </c>
      <c r="Z28" s="81">
        <v>53340</v>
      </c>
      <c r="AA28" s="81">
        <v>57098</v>
      </c>
      <c r="AB28" s="80">
        <v>27725</v>
      </c>
      <c r="AC28" s="80" t="s">
        <v>222</v>
      </c>
      <c r="AD28" s="80">
        <f>Q28/100*69</f>
        <v>27143.22</v>
      </c>
      <c r="AE28" s="86">
        <v>10389</v>
      </c>
      <c r="AF28" s="80" t="s">
        <v>222</v>
      </c>
      <c r="AG28" s="81" t="s">
        <v>546</v>
      </c>
      <c r="AH28" s="86">
        <v>71</v>
      </c>
      <c r="AI28" s="86">
        <v>1872</v>
      </c>
      <c r="AJ28" s="80" t="s">
        <v>222</v>
      </c>
      <c r="AK28" s="80" t="s">
        <v>75</v>
      </c>
      <c r="AL28" s="86" t="s">
        <v>75</v>
      </c>
      <c r="AM28" s="86" t="s">
        <v>75</v>
      </c>
      <c r="AN28" s="80" t="s">
        <v>75</v>
      </c>
      <c r="AO28" s="74" t="s">
        <v>75</v>
      </c>
      <c r="AP28" s="86" t="s">
        <v>75</v>
      </c>
      <c r="AQ28" s="80" t="s">
        <v>75</v>
      </c>
      <c r="AR28" s="74" t="s">
        <v>75</v>
      </c>
      <c r="AS28" s="86" t="s">
        <v>75</v>
      </c>
      <c r="AT28" s="80" t="s">
        <v>75</v>
      </c>
      <c r="AU28" s="80" t="s">
        <v>6</v>
      </c>
      <c r="AV28" s="80" t="s">
        <v>6</v>
      </c>
      <c r="AW28" s="86" t="s">
        <v>75</v>
      </c>
      <c r="AX28" s="80" t="s">
        <v>6</v>
      </c>
      <c r="AY28" s="88" t="s">
        <v>75</v>
      </c>
      <c r="AZ28" s="74" t="s">
        <v>221</v>
      </c>
      <c r="BA28" s="92" t="s">
        <v>266</v>
      </c>
      <c r="BB28" s="92" t="s">
        <v>266</v>
      </c>
      <c r="BC28" s="71" t="s">
        <v>75</v>
      </c>
      <c r="BD28" s="74" t="s">
        <v>75</v>
      </c>
      <c r="BE28" s="74"/>
      <c r="BF28" s="74" t="s">
        <v>83</v>
      </c>
      <c r="BG28" s="111" t="s">
        <v>75</v>
      </c>
      <c r="BH28" s="74" t="s">
        <v>75</v>
      </c>
      <c r="BI28" s="96"/>
      <c r="BJ28" s="111"/>
      <c r="BK28" s="111" t="s">
        <v>83</v>
      </c>
      <c r="BL28" s="74" t="s">
        <v>75</v>
      </c>
      <c r="BM28" s="74" t="s">
        <v>75</v>
      </c>
      <c r="BN28" s="74" t="s">
        <v>75</v>
      </c>
      <c r="BO28" s="74" t="s">
        <v>83</v>
      </c>
      <c r="BP28" s="74" t="s">
        <v>83</v>
      </c>
      <c r="BQ28" s="104" t="s">
        <v>75</v>
      </c>
      <c r="BR28" s="104" t="s">
        <v>75</v>
      </c>
      <c r="BS28" s="71">
        <f>AD28/100*(44)*12.86</f>
        <v>153587.19604800001</v>
      </c>
      <c r="BT28" s="71">
        <f>AD28/100*(56)*25.73</f>
        <v>391101.22833600006</v>
      </c>
      <c r="BU28" s="71"/>
      <c r="BV28" s="96">
        <f t="shared" si="0"/>
        <v>544688.42438400001</v>
      </c>
      <c r="BW28" s="101"/>
      <c r="BX28" s="101">
        <f>SUBTOTAL(9,BM28,BW28)</f>
        <v>0</v>
      </c>
      <c r="BY28" s="28"/>
      <c r="BZ28" s="28"/>
      <c r="CA28" s="28"/>
    </row>
    <row r="29" spans="1:111" customFormat="1" ht="75" x14ac:dyDescent="0.25">
      <c r="A29" s="110" t="s">
        <v>191</v>
      </c>
      <c r="B29" s="5">
        <v>812</v>
      </c>
      <c r="C29" s="8" t="s">
        <v>4</v>
      </c>
      <c r="D29" s="8" t="s">
        <v>5</v>
      </c>
      <c r="E29" s="76" t="s">
        <v>174</v>
      </c>
      <c r="F29" s="76"/>
      <c r="G29" s="77" t="s">
        <v>6</v>
      </c>
      <c r="H29" s="77" t="s">
        <v>6</v>
      </c>
      <c r="I29" s="8" t="s">
        <v>7</v>
      </c>
      <c r="J29" s="74" t="s">
        <v>7</v>
      </c>
      <c r="K29" s="74" t="s">
        <v>526</v>
      </c>
      <c r="L29" s="90" t="s">
        <v>600</v>
      </c>
      <c r="M29" s="81">
        <v>413</v>
      </c>
      <c r="N29" s="74" t="s">
        <v>6</v>
      </c>
      <c r="O29" s="74" t="s">
        <v>221</v>
      </c>
      <c r="P29" s="74" t="s">
        <v>221</v>
      </c>
      <c r="Q29" s="81">
        <v>927</v>
      </c>
      <c r="R29" s="74" t="s">
        <v>223</v>
      </c>
      <c r="S29" s="79">
        <f>(Q29-AA29)/Q29</f>
        <v>-7.8748651564185548E-2</v>
      </c>
      <c r="T29" s="80">
        <f t="shared" si="2"/>
        <v>927</v>
      </c>
      <c r="U29" s="81">
        <v>820</v>
      </c>
      <c r="V29" s="81">
        <v>882</v>
      </c>
      <c r="W29" s="81">
        <v>1188</v>
      </c>
      <c r="X29" s="81"/>
      <c r="Y29" s="81">
        <v>1090</v>
      </c>
      <c r="Z29" s="81"/>
      <c r="AA29" s="81">
        <v>1000</v>
      </c>
      <c r="AB29" s="80">
        <v>880</v>
      </c>
      <c r="AC29" s="80" t="s">
        <v>223</v>
      </c>
      <c r="AD29" s="80">
        <f>Q29/100*75</f>
        <v>695.25</v>
      </c>
      <c r="AE29" s="86">
        <v>47</v>
      </c>
      <c r="AF29" s="80" t="s">
        <v>223</v>
      </c>
      <c r="AG29" s="81" t="s">
        <v>295</v>
      </c>
      <c r="AH29" s="86">
        <v>0</v>
      </c>
      <c r="AI29" s="86">
        <v>0</v>
      </c>
      <c r="AJ29" s="80" t="s">
        <v>222</v>
      </c>
      <c r="AK29" s="80">
        <v>0</v>
      </c>
      <c r="AL29" s="86">
        <v>0</v>
      </c>
      <c r="AM29" s="86">
        <v>0</v>
      </c>
      <c r="AN29" s="80" t="s">
        <v>222</v>
      </c>
      <c r="AO29" s="74">
        <v>0</v>
      </c>
      <c r="AP29" s="86">
        <v>0</v>
      </c>
      <c r="AQ29" s="80" t="s">
        <v>222</v>
      </c>
      <c r="AR29" s="74">
        <v>11</v>
      </c>
      <c r="AS29" s="86">
        <v>48</v>
      </c>
      <c r="AT29" s="80" t="s">
        <v>223</v>
      </c>
      <c r="AU29" s="80" t="s">
        <v>6</v>
      </c>
      <c r="AV29" s="80" t="s">
        <v>6</v>
      </c>
      <c r="AW29" s="86" t="s">
        <v>296</v>
      </c>
      <c r="AX29" s="80" t="s">
        <v>6</v>
      </c>
      <c r="AY29" s="88" t="s">
        <v>297</v>
      </c>
      <c r="AZ29" s="74" t="s">
        <v>6</v>
      </c>
      <c r="BA29" s="92">
        <v>1</v>
      </c>
      <c r="BB29" s="92" t="s">
        <v>298</v>
      </c>
      <c r="BC29" s="71" t="s">
        <v>221</v>
      </c>
      <c r="BD29" s="74">
        <v>40</v>
      </c>
      <c r="BE29" s="74"/>
      <c r="BF29" s="74">
        <v>50</v>
      </c>
      <c r="BG29" s="111">
        <v>1500</v>
      </c>
      <c r="BH29" s="74" t="s">
        <v>223</v>
      </c>
      <c r="BI29" s="96">
        <f>BG29/7*50</f>
        <v>10714.285714285714</v>
      </c>
      <c r="BJ29" s="111"/>
      <c r="BK29" s="111">
        <v>1620</v>
      </c>
      <c r="BL29" s="74">
        <v>0</v>
      </c>
      <c r="BM29" s="74">
        <v>0</v>
      </c>
      <c r="BN29" s="74" t="s">
        <v>222</v>
      </c>
      <c r="BO29" s="74">
        <v>0</v>
      </c>
      <c r="BP29" s="74">
        <v>0</v>
      </c>
      <c r="BQ29" s="104" t="s">
        <v>299</v>
      </c>
      <c r="BR29" s="104" t="s">
        <v>300</v>
      </c>
      <c r="BS29" s="71">
        <f>AD29/100*(47)*12.86</f>
        <v>4202.2300499999992</v>
      </c>
      <c r="BT29" s="71">
        <f>AD29/100*(53)*25.73</f>
        <v>9481.054725</v>
      </c>
      <c r="BU29" s="71">
        <v>5127.6487500000003</v>
      </c>
      <c r="BV29" s="96">
        <f t="shared" si="0"/>
        <v>18810.933525</v>
      </c>
      <c r="BW29" s="101">
        <f>BM29*(1-0.25)*(1-0.21)*(1-0.25)*1.2</f>
        <v>0</v>
      </c>
      <c r="BX29" s="101">
        <f>SUBTOTAL(9,BM29,BW29)</f>
        <v>0</v>
      </c>
    </row>
    <row r="30" spans="1:111" customFormat="1" ht="315" x14ac:dyDescent="0.25">
      <c r="A30" s="18" t="s">
        <v>82</v>
      </c>
      <c r="B30" s="5">
        <v>677</v>
      </c>
      <c r="C30" s="8" t="s">
        <v>4</v>
      </c>
      <c r="D30" s="8" t="s">
        <v>5</v>
      </c>
      <c r="E30" s="8" t="s">
        <v>68</v>
      </c>
      <c r="F30" s="8" t="s">
        <v>83</v>
      </c>
      <c r="G30" s="77" t="s">
        <v>214</v>
      </c>
      <c r="H30" s="77" t="s">
        <v>6</v>
      </c>
      <c r="I30" s="8" t="s">
        <v>9</v>
      </c>
      <c r="J30" s="74" t="s">
        <v>9</v>
      </c>
      <c r="K30" s="74" t="s">
        <v>528</v>
      </c>
      <c r="L30" s="90" t="s">
        <v>599</v>
      </c>
      <c r="M30" s="81" t="s">
        <v>537</v>
      </c>
      <c r="N30" s="74" t="s">
        <v>6</v>
      </c>
      <c r="O30" s="74" t="s">
        <v>221</v>
      </c>
      <c r="P30" s="74" t="s">
        <v>221</v>
      </c>
      <c r="Q30" s="81">
        <v>69568</v>
      </c>
      <c r="R30" s="74" t="s">
        <v>222</v>
      </c>
      <c r="S30" s="79">
        <f>(Q30-AA30)/Q30</f>
        <v>-6.0070722171113158E-2</v>
      </c>
      <c r="T30" s="80">
        <f t="shared" si="2"/>
        <v>69568</v>
      </c>
      <c r="U30" s="81">
        <v>108996</v>
      </c>
      <c r="V30" s="81">
        <v>88337</v>
      </c>
      <c r="W30" s="81">
        <v>89383</v>
      </c>
      <c r="X30" s="81">
        <v>88296</v>
      </c>
      <c r="Y30" s="81">
        <v>77277</v>
      </c>
      <c r="Z30" s="81">
        <v>4287</v>
      </c>
      <c r="AA30" s="81">
        <v>73747</v>
      </c>
      <c r="AB30" s="80">
        <v>48411</v>
      </c>
      <c r="AC30" s="80" t="s">
        <v>222</v>
      </c>
      <c r="AD30" s="80">
        <f>Q30/100*68</f>
        <v>47306.239999999998</v>
      </c>
      <c r="AE30" s="86">
        <v>16314</v>
      </c>
      <c r="AF30" s="80" t="s">
        <v>222</v>
      </c>
      <c r="AG30" s="81" t="s">
        <v>295</v>
      </c>
      <c r="AH30" s="86">
        <v>772</v>
      </c>
      <c r="AI30" s="86">
        <v>19937</v>
      </c>
      <c r="AJ30" s="80" t="s">
        <v>222</v>
      </c>
      <c r="AK30" s="80">
        <v>9</v>
      </c>
      <c r="AL30" s="86">
        <v>260</v>
      </c>
      <c r="AM30" s="86">
        <v>9</v>
      </c>
      <c r="AN30" s="80" t="s">
        <v>222</v>
      </c>
      <c r="AO30" s="74">
        <v>88</v>
      </c>
      <c r="AP30" s="86">
        <v>4678</v>
      </c>
      <c r="AQ30" s="80" t="s">
        <v>222</v>
      </c>
      <c r="AR30" s="74">
        <v>4</v>
      </c>
      <c r="AS30" s="86">
        <v>279</v>
      </c>
      <c r="AT30" s="80" t="s">
        <v>222</v>
      </c>
      <c r="AU30" s="80" t="s">
        <v>6</v>
      </c>
      <c r="AV30" s="80" t="s">
        <v>6</v>
      </c>
      <c r="AW30" s="86">
        <v>95015</v>
      </c>
      <c r="AX30" s="80" t="s">
        <v>6</v>
      </c>
      <c r="AY30" s="88">
        <v>5626</v>
      </c>
      <c r="AZ30" s="74" t="s">
        <v>6</v>
      </c>
      <c r="BA30" s="92">
        <v>7.75</v>
      </c>
      <c r="BB30" s="92">
        <v>4.8</v>
      </c>
      <c r="BC30" s="71" t="s">
        <v>221</v>
      </c>
      <c r="BD30" s="74">
        <v>35</v>
      </c>
      <c r="BE30" s="74"/>
      <c r="BF30" s="74" t="s">
        <v>83</v>
      </c>
      <c r="BG30" s="111">
        <v>1500</v>
      </c>
      <c r="BH30" s="74" t="s">
        <v>222</v>
      </c>
      <c r="BI30" s="96">
        <f>BG30/7*50</f>
        <v>10714.285714285714</v>
      </c>
      <c r="BJ30" s="111"/>
      <c r="BK30" s="111" t="s">
        <v>83</v>
      </c>
      <c r="BL30" s="74">
        <v>77</v>
      </c>
      <c r="BM30" s="74">
        <v>66</v>
      </c>
      <c r="BN30" s="74" t="s">
        <v>222</v>
      </c>
      <c r="BO30" s="74" t="s">
        <v>83</v>
      </c>
      <c r="BP30" s="74" t="s">
        <v>83</v>
      </c>
      <c r="BQ30" s="104" t="s">
        <v>539</v>
      </c>
      <c r="BR30" s="104" t="s">
        <v>540</v>
      </c>
      <c r="BS30" s="71">
        <f>AD30/100*(31)*12.91</f>
        <v>189324.30310399999</v>
      </c>
      <c r="BT30" s="71">
        <f>AD30/100*(69)*25.82</f>
        <v>842798.51059199986</v>
      </c>
      <c r="BU30" s="71">
        <v>890232.76437500003</v>
      </c>
      <c r="BV30" s="96">
        <f t="shared" si="0"/>
        <v>1922355.5780709998</v>
      </c>
      <c r="BW30" s="101">
        <f>BM30*(1-0.25)*(1-0.25)*(1-0.375)*1.2</f>
        <v>27.84375</v>
      </c>
      <c r="BX30" s="101">
        <f>SUBTOTAL(9,BM30,BW30)</f>
        <v>93.84375</v>
      </c>
      <c r="BY30" s="28"/>
      <c r="BZ30" s="28"/>
      <c r="CA30" s="28"/>
      <c r="CB30" s="28"/>
      <c r="CC30" s="28"/>
    </row>
    <row r="31" spans="1:111" customFormat="1" ht="30" x14ac:dyDescent="0.25">
      <c r="A31" s="18" t="s">
        <v>100</v>
      </c>
      <c r="B31" s="5">
        <v>2158</v>
      </c>
      <c r="C31" s="8" t="s">
        <v>4</v>
      </c>
      <c r="D31" s="8" t="s">
        <v>5</v>
      </c>
      <c r="E31" s="8" t="s">
        <v>68</v>
      </c>
      <c r="F31" s="8"/>
      <c r="G31" s="77" t="s">
        <v>6</v>
      </c>
      <c r="H31" s="77"/>
      <c r="I31" s="8" t="s">
        <v>7</v>
      </c>
      <c r="J31" s="74" t="s">
        <v>7</v>
      </c>
      <c r="K31" s="74" t="s">
        <v>526</v>
      </c>
      <c r="L31" s="90" t="s">
        <v>599</v>
      </c>
      <c r="M31" s="81">
        <v>282</v>
      </c>
      <c r="N31" s="75" t="s">
        <v>6</v>
      </c>
      <c r="O31" s="75" t="s">
        <v>6</v>
      </c>
      <c r="P31" s="75" t="s">
        <v>221</v>
      </c>
      <c r="Q31" s="81">
        <v>7360</v>
      </c>
      <c r="R31" s="74" t="s">
        <v>222</v>
      </c>
      <c r="S31" s="79"/>
      <c r="T31" s="80">
        <f t="shared" si="2"/>
        <v>7360</v>
      </c>
      <c r="U31" s="81"/>
      <c r="V31" s="81"/>
      <c r="W31" s="81">
        <v>8000</v>
      </c>
      <c r="X31" s="81">
        <v>9000</v>
      </c>
      <c r="Y31" s="81">
        <v>7500</v>
      </c>
      <c r="Z31" s="81">
        <v>9000</v>
      </c>
      <c r="AA31" s="81"/>
      <c r="AB31" s="80">
        <v>2898</v>
      </c>
      <c r="AC31" s="80" t="s">
        <v>222</v>
      </c>
      <c r="AD31" s="80">
        <f>Q31/100*75</f>
        <v>5520</v>
      </c>
      <c r="AE31" s="86">
        <v>1295</v>
      </c>
      <c r="AF31" s="80" t="s">
        <v>222</v>
      </c>
      <c r="AG31" s="81" t="s">
        <v>75</v>
      </c>
      <c r="AH31" s="86">
        <v>4</v>
      </c>
      <c r="AI31" s="86">
        <v>300</v>
      </c>
      <c r="AJ31" s="80" t="s">
        <v>223</v>
      </c>
      <c r="AK31" s="80">
        <v>0</v>
      </c>
      <c r="AL31" s="86" t="s">
        <v>75</v>
      </c>
      <c r="AM31" s="86">
        <v>9</v>
      </c>
      <c r="AN31" s="80" t="s">
        <v>223</v>
      </c>
      <c r="AO31" s="75">
        <v>3</v>
      </c>
      <c r="AP31" s="86">
        <v>75</v>
      </c>
      <c r="AQ31" s="80" t="s">
        <v>223</v>
      </c>
      <c r="AR31" s="75" t="s">
        <v>75</v>
      </c>
      <c r="AS31" s="86" t="s">
        <v>75</v>
      </c>
      <c r="AT31" s="80" t="s">
        <v>75</v>
      </c>
      <c r="AU31" s="80" t="s">
        <v>6</v>
      </c>
      <c r="AV31" s="80" t="s">
        <v>6</v>
      </c>
      <c r="AW31" s="86" t="s">
        <v>75</v>
      </c>
      <c r="AX31" s="80" t="s">
        <v>6</v>
      </c>
      <c r="AY31" s="88">
        <v>303</v>
      </c>
      <c r="AZ31" s="75" t="s">
        <v>6</v>
      </c>
      <c r="BA31" s="92">
        <v>5.75</v>
      </c>
      <c r="BB31" s="92">
        <v>4</v>
      </c>
      <c r="BC31" s="71" t="s">
        <v>221</v>
      </c>
      <c r="BD31" s="74">
        <v>12</v>
      </c>
      <c r="BE31" s="74">
        <v>6</v>
      </c>
      <c r="BF31" s="74"/>
      <c r="BG31" s="111">
        <v>3500</v>
      </c>
      <c r="BH31" s="74" t="s">
        <v>223</v>
      </c>
      <c r="BI31" s="96">
        <f>BG31/7*50</f>
        <v>25000</v>
      </c>
      <c r="BJ31" s="111">
        <v>1500</v>
      </c>
      <c r="BK31" s="111"/>
      <c r="BL31" s="74">
        <v>3</v>
      </c>
      <c r="BM31" s="74">
        <v>3</v>
      </c>
      <c r="BN31" s="74" t="s">
        <v>222</v>
      </c>
      <c r="BO31" s="74"/>
      <c r="BP31" s="74"/>
      <c r="BQ31" s="106" t="s">
        <v>301</v>
      </c>
      <c r="BR31" s="106" t="s">
        <v>301</v>
      </c>
      <c r="BS31" s="71">
        <f>AD31/100*(47)*12.91</f>
        <v>33493.703999999998</v>
      </c>
      <c r="BT31" s="71">
        <f>AD31/100*(53)*25.82</f>
        <v>75538.992000000013</v>
      </c>
      <c r="BU31" s="71"/>
      <c r="BV31" s="96">
        <f t="shared" si="0"/>
        <v>109032.69600000001</v>
      </c>
      <c r="BW31" s="102">
        <f>BM31*(1-0.25)*(1-0.21)*(1-0.25)*1.2</f>
        <v>1.59975</v>
      </c>
      <c r="BX31" s="102">
        <f>SUBTOTAL(9,BM31,BW31)</f>
        <v>4.5997500000000002</v>
      </c>
    </row>
    <row r="32" spans="1:111" customFormat="1" ht="75" x14ac:dyDescent="0.25">
      <c r="A32" s="110" t="s">
        <v>148</v>
      </c>
      <c r="B32" s="5">
        <v>744</v>
      </c>
      <c r="C32" s="8" t="s">
        <v>4</v>
      </c>
      <c r="D32" s="8" t="s">
        <v>5</v>
      </c>
      <c r="E32" s="76" t="s">
        <v>137</v>
      </c>
      <c r="F32" s="94" t="s">
        <v>141</v>
      </c>
      <c r="G32" s="77" t="s">
        <v>214</v>
      </c>
      <c r="H32" s="77" t="s">
        <v>6</v>
      </c>
      <c r="I32" s="8" t="s">
        <v>9</v>
      </c>
      <c r="J32" s="75" t="s">
        <v>9</v>
      </c>
      <c r="K32" s="75" t="s">
        <v>527</v>
      </c>
      <c r="L32" s="122" t="s">
        <v>600</v>
      </c>
      <c r="M32" s="81" t="s">
        <v>562</v>
      </c>
      <c r="N32" s="74" t="s">
        <v>221</v>
      </c>
      <c r="O32" s="74" t="s">
        <v>221</v>
      </c>
      <c r="P32" s="74" t="s">
        <v>221</v>
      </c>
      <c r="Q32" s="81">
        <v>14203</v>
      </c>
      <c r="R32" s="74" t="s">
        <v>75</v>
      </c>
      <c r="S32" s="79">
        <f>(Q32-AA32)/Q32</f>
        <v>-3.8512990213335208E-2</v>
      </c>
      <c r="T32" s="80">
        <f t="shared" si="2"/>
        <v>14203</v>
      </c>
      <c r="U32" s="81">
        <v>18213</v>
      </c>
      <c r="V32" s="81">
        <v>14602</v>
      </c>
      <c r="W32" s="81">
        <v>25329</v>
      </c>
      <c r="X32" s="81">
        <v>22233</v>
      </c>
      <c r="Y32" s="81">
        <v>19470</v>
      </c>
      <c r="Z32" s="81">
        <v>18280</v>
      </c>
      <c r="AA32" s="81">
        <v>14750</v>
      </c>
      <c r="AB32" s="80">
        <v>10387</v>
      </c>
      <c r="AC32" s="80" t="s">
        <v>75</v>
      </c>
      <c r="AD32" s="80">
        <f>Q32/100*69</f>
        <v>9800.07</v>
      </c>
      <c r="AE32" s="86">
        <v>3816</v>
      </c>
      <c r="AF32" s="80" t="s">
        <v>223</v>
      </c>
      <c r="AG32" s="81" t="s">
        <v>552</v>
      </c>
      <c r="AH32" s="86">
        <v>86</v>
      </c>
      <c r="AI32" s="86">
        <v>2023</v>
      </c>
      <c r="AJ32" s="80" t="s">
        <v>75</v>
      </c>
      <c r="AK32" s="80">
        <v>0</v>
      </c>
      <c r="AL32" s="86">
        <v>0</v>
      </c>
      <c r="AM32" s="86">
        <v>0</v>
      </c>
      <c r="AN32" s="80" t="s">
        <v>75</v>
      </c>
      <c r="AO32" s="74">
        <v>14</v>
      </c>
      <c r="AP32" s="86">
        <v>387</v>
      </c>
      <c r="AQ32" s="80" t="s">
        <v>75</v>
      </c>
      <c r="AR32" s="74">
        <v>19</v>
      </c>
      <c r="AS32" s="86">
        <v>198</v>
      </c>
      <c r="AT32" s="80" t="s">
        <v>75</v>
      </c>
      <c r="AU32" s="80" t="s">
        <v>6</v>
      </c>
      <c r="AV32" s="80" t="s">
        <v>75</v>
      </c>
      <c r="AW32" s="86" t="s">
        <v>75</v>
      </c>
      <c r="AX32" s="80" t="s">
        <v>6</v>
      </c>
      <c r="AY32" s="88" t="s">
        <v>563</v>
      </c>
      <c r="AZ32" s="74" t="s">
        <v>6</v>
      </c>
      <c r="BA32" s="92">
        <v>4.1500000000000004</v>
      </c>
      <c r="BB32" s="92">
        <v>3.3</v>
      </c>
      <c r="BC32" s="71" t="s">
        <v>75</v>
      </c>
      <c r="BD32" s="74" t="s">
        <v>75</v>
      </c>
      <c r="BE32" s="74"/>
      <c r="BF32" s="74" t="s">
        <v>611</v>
      </c>
      <c r="BG32" s="111" t="s">
        <v>75</v>
      </c>
      <c r="BH32" s="74" t="s">
        <v>75</v>
      </c>
      <c r="BI32" s="96"/>
      <c r="BJ32" s="111"/>
      <c r="BK32" s="111" t="s">
        <v>611</v>
      </c>
      <c r="BL32" s="74" t="s">
        <v>75</v>
      </c>
      <c r="BM32" s="74" t="s">
        <v>75</v>
      </c>
      <c r="BN32" s="74" t="s">
        <v>75</v>
      </c>
      <c r="BO32" s="75" t="s">
        <v>611</v>
      </c>
      <c r="BP32" s="75" t="s">
        <v>611</v>
      </c>
      <c r="BQ32" s="104" t="s">
        <v>75</v>
      </c>
      <c r="BR32" s="104" t="s">
        <v>75</v>
      </c>
      <c r="BS32" s="71">
        <f>AD32/100*(44)*14.08</f>
        <v>60713.393663999996</v>
      </c>
      <c r="BT32" s="71">
        <f>AD32/100*(56)*28.16</f>
        <v>154543.18387199999</v>
      </c>
      <c r="BU32" s="71"/>
      <c r="BV32" s="96">
        <f t="shared" si="0"/>
        <v>215256.577536</v>
      </c>
      <c r="BW32" s="101"/>
      <c r="BX32" s="101">
        <f>SUBTOTAL(9,BM32,BW32)</f>
        <v>0</v>
      </c>
    </row>
    <row r="33" spans="1:80" customFormat="1" ht="90" x14ac:dyDescent="0.25">
      <c r="A33" s="110" t="s">
        <v>29</v>
      </c>
      <c r="B33" s="5">
        <v>669</v>
      </c>
      <c r="C33" s="8" t="s">
        <v>30</v>
      </c>
      <c r="D33" s="8" t="s">
        <v>5</v>
      </c>
      <c r="E33" s="95" t="s">
        <v>25</v>
      </c>
      <c r="F33" s="78"/>
      <c r="G33" s="77" t="s">
        <v>6</v>
      </c>
      <c r="H33" s="77" t="s">
        <v>6</v>
      </c>
      <c r="I33" s="8" t="s">
        <v>9</v>
      </c>
      <c r="J33" s="74" t="s">
        <v>7</v>
      </c>
      <c r="K33" s="74" t="s">
        <v>526</v>
      </c>
      <c r="L33" s="90" t="s">
        <v>601</v>
      </c>
      <c r="M33" s="81">
        <v>958</v>
      </c>
      <c r="N33" s="74" t="s">
        <v>6</v>
      </c>
      <c r="O33" s="74" t="s">
        <v>221</v>
      </c>
      <c r="P33" s="74" t="s">
        <v>221</v>
      </c>
      <c r="Q33" s="81">
        <v>4386</v>
      </c>
      <c r="R33" s="74" t="s">
        <v>223</v>
      </c>
      <c r="S33" s="79"/>
      <c r="T33" s="80">
        <f t="shared" si="2"/>
        <v>4386</v>
      </c>
      <c r="U33" s="81">
        <v>12470</v>
      </c>
      <c r="V33" s="81">
        <v>10903</v>
      </c>
      <c r="W33" s="81">
        <v>9777</v>
      </c>
      <c r="X33" s="81">
        <v>11555</v>
      </c>
      <c r="Y33" s="81">
        <v>10263</v>
      </c>
      <c r="Z33" s="81"/>
      <c r="AA33" s="81" t="s">
        <v>266</v>
      </c>
      <c r="AB33" s="80">
        <v>3868</v>
      </c>
      <c r="AC33" s="80" t="s">
        <v>223</v>
      </c>
      <c r="AD33" s="80">
        <f>Q33/100*75</f>
        <v>3289.5</v>
      </c>
      <c r="AE33" s="86">
        <v>518</v>
      </c>
      <c r="AF33" s="80" t="s">
        <v>223</v>
      </c>
      <c r="AG33" s="81" t="s">
        <v>75</v>
      </c>
      <c r="AH33" s="86">
        <v>5</v>
      </c>
      <c r="AI33" s="86">
        <v>50</v>
      </c>
      <c r="AJ33" s="80" t="s">
        <v>223</v>
      </c>
      <c r="AK33" s="80">
        <v>0</v>
      </c>
      <c r="AL33" s="86" t="s">
        <v>75</v>
      </c>
      <c r="AM33" s="86">
        <v>5</v>
      </c>
      <c r="AN33" s="80" t="s">
        <v>223</v>
      </c>
      <c r="AO33" s="74" t="s">
        <v>75</v>
      </c>
      <c r="AP33" s="86" t="s">
        <v>75</v>
      </c>
      <c r="AQ33" s="80" t="s">
        <v>75</v>
      </c>
      <c r="AR33" s="74" t="s">
        <v>75</v>
      </c>
      <c r="AS33" s="86" t="s">
        <v>75</v>
      </c>
      <c r="AT33" s="80" t="s">
        <v>75</v>
      </c>
      <c r="AU33" s="80" t="s">
        <v>6</v>
      </c>
      <c r="AV33" s="80" t="s">
        <v>6</v>
      </c>
      <c r="AW33" s="86" t="s">
        <v>75</v>
      </c>
      <c r="AX33" s="80" t="s">
        <v>221</v>
      </c>
      <c r="AY33" s="88" t="s">
        <v>75</v>
      </c>
      <c r="AZ33" s="74" t="s">
        <v>221</v>
      </c>
      <c r="BA33" s="92" t="s">
        <v>266</v>
      </c>
      <c r="BB33" s="92" t="s">
        <v>266</v>
      </c>
      <c r="BC33" s="71" t="s">
        <v>221</v>
      </c>
      <c r="BD33" s="74">
        <v>37</v>
      </c>
      <c r="BE33" s="74"/>
      <c r="BF33" s="74">
        <v>37</v>
      </c>
      <c r="BG33" s="111">
        <v>1250</v>
      </c>
      <c r="BH33" s="74" t="s">
        <v>223</v>
      </c>
      <c r="BI33" s="96">
        <f t="shared" ref="BI33:BI38" si="3">BG33/7*50</f>
        <v>8928.5714285714294</v>
      </c>
      <c r="BJ33" s="111"/>
      <c r="BK33" s="111">
        <v>20</v>
      </c>
      <c r="BL33" s="74">
        <v>1</v>
      </c>
      <c r="BM33" s="74">
        <v>0.6</v>
      </c>
      <c r="BN33" s="74" t="s">
        <v>222</v>
      </c>
      <c r="BO33" s="74">
        <v>1</v>
      </c>
      <c r="BP33" s="74" t="s">
        <v>351</v>
      </c>
      <c r="BQ33" s="104" t="s">
        <v>301</v>
      </c>
      <c r="BR33" s="104" t="s">
        <v>301</v>
      </c>
      <c r="BS33" s="71">
        <f>AD33/100*(47)*17.99</f>
        <v>27813.709349999997</v>
      </c>
      <c r="BT33" s="71">
        <f>AD33/100*(53)*35.98</f>
        <v>62728.791299999997</v>
      </c>
      <c r="BU33" s="71">
        <v>9164.0587500000001</v>
      </c>
      <c r="BV33" s="96">
        <f t="shared" si="0"/>
        <v>99706.559399999998</v>
      </c>
      <c r="BW33" s="101">
        <f>BM33*(1-0.25)*(1-0.21)*(1-0.25)*1.2</f>
        <v>0.31995000000000001</v>
      </c>
      <c r="BX33" s="101">
        <f>SUBTOTAL(9,BM33,BW33)</f>
        <v>0.91995000000000005</v>
      </c>
    </row>
    <row r="34" spans="1:80" customFormat="1" ht="90" x14ac:dyDescent="0.25">
      <c r="A34" s="110" t="s">
        <v>129</v>
      </c>
      <c r="B34" s="5">
        <v>1594</v>
      </c>
      <c r="C34" s="8" t="s">
        <v>4</v>
      </c>
      <c r="D34" s="8" t="s">
        <v>5</v>
      </c>
      <c r="E34" s="8" t="s">
        <v>109</v>
      </c>
      <c r="F34" s="8"/>
      <c r="G34" s="77" t="s">
        <v>6</v>
      </c>
      <c r="H34" s="77" t="s">
        <v>6</v>
      </c>
      <c r="I34" s="8" t="s">
        <v>7</v>
      </c>
      <c r="J34" s="74" t="s">
        <v>7</v>
      </c>
      <c r="K34" s="74" t="s">
        <v>526</v>
      </c>
      <c r="L34" s="90" t="s">
        <v>602</v>
      </c>
      <c r="M34" s="81">
        <v>159.5</v>
      </c>
      <c r="N34" s="74" t="s">
        <v>221</v>
      </c>
      <c r="O34" s="74" t="s">
        <v>221</v>
      </c>
      <c r="P34" s="74" t="s">
        <v>221</v>
      </c>
      <c r="Q34" s="81">
        <v>3457</v>
      </c>
      <c r="R34" s="74" t="s">
        <v>222</v>
      </c>
      <c r="S34" s="79">
        <f t="shared" ref="S34:S44" si="4">(Q34-AA34)/Q34</f>
        <v>0.67139137980908303</v>
      </c>
      <c r="T34" s="80">
        <f t="shared" si="2"/>
        <v>3457</v>
      </c>
      <c r="U34" s="81"/>
      <c r="V34" s="81"/>
      <c r="W34" s="81">
        <v>778</v>
      </c>
      <c r="X34" s="81">
        <v>548</v>
      </c>
      <c r="Y34" s="81">
        <v>940</v>
      </c>
      <c r="Z34" s="81">
        <v>5941</v>
      </c>
      <c r="AA34" s="81">
        <v>1136</v>
      </c>
      <c r="AB34" s="80">
        <v>1600</v>
      </c>
      <c r="AC34" s="80" t="s">
        <v>223</v>
      </c>
      <c r="AD34" s="80">
        <f>Q34/100*75</f>
        <v>2592.75</v>
      </c>
      <c r="AE34" s="86">
        <v>1600</v>
      </c>
      <c r="AF34" s="80" t="s">
        <v>223</v>
      </c>
      <c r="AG34" s="81" t="s">
        <v>302</v>
      </c>
      <c r="AH34" s="86">
        <v>0</v>
      </c>
      <c r="AI34" s="86">
        <v>0</v>
      </c>
      <c r="AJ34" s="80" t="s">
        <v>222</v>
      </c>
      <c r="AK34" s="80">
        <v>3</v>
      </c>
      <c r="AL34" s="86">
        <v>240</v>
      </c>
      <c r="AM34" s="86">
        <v>3</v>
      </c>
      <c r="AN34" s="80" t="s">
        <v>222</v>
      </c>
      <c r="AO34" s="74">
        <v>11</v>
      </c>
      <c r="AP34" s="86">
        <v>29</v>
      </c>
      <c r="AQ34" s="80" t="s">
        <v>223</v>
      </c>
      <c r="AR34" s="74">
        <v>9</v>
      </c>
      <c r="AS34" s="86">
        <v>3306</v>
      </c>
      <c r="AT34" s="80" t="s">
        <v>223</v>
      </c>
      <c r="AU34" s="80" t="s">
        <v>6</v>
      </c>
      <c r="AV34" s="80" t="s">
        <v>6</v>
      </c>
      <c r="AW34" s="86">
        <v>13000</v>
      </c>
      <c r="AX34" s="80" t="s">
        <v>6</v>
      </c>
      <c r="AY34" s="88">
        <v>810</v>
      </c>
      <c r="AZ34" s="74" t="s">
        <v>6</v>
      </c>
      <c r="BA34" s="92">
        <v>10</v>
      </c>
      <c r="BB34" s="92" t="s">
        <v>644</v>
      </c>
      <c r="BC34" s="71" t="s">
        <v>221</v>
      </c>
      <c r="BD34" s="74">
        <v>26</v>
      </c>
      <c r="BE34" s="74">
        <v>28</v>
      </c>
      <c r="BF34" s="74">
        <v>23</v>
      </c>
      <c r="BG34" s="111">
        <v>19136</v>
      </c>
      <c r="BH34" s="74" t="s">
        <v>223</v>
      </c>
      <c r="BI34" s="96">
        <f t="shared" si="3"/>
        <v>136685.71428571429</v>
      </c>
      <c r="BJ34" s="111">
        <v>6449</v>
      </c>
      <c r="BK34" s="111">
        <v>2079.25</v>
      </c>
      <c r="BL34" s="74">
        <v>4</v>
      </c>
      <c r="BM34" s="74">
        <v>1</v>
      </c>
      <c r="BN34" s="74" t="s">
        <v>222</v>
      </c>
      <c r="BO34" s="74">
        <v>4</v>
      </c>
      <c r="BP34" s="74">
        <v>1</v>
      </c>
      <c r="BQ34" s="104" t="s">
        <v>75</v>
      </c>
      <c r="BR34" s="104" t="s">
        <v>303</v>
      </c>
      <c r="BS34" s="71">
        <f>AD34/100*(47)*11.29</f>
        <v>13757.909324999999</v>
      </c>
      <c r="BT34" s="71">
        <f>AD34/100*(53)*22.59</f>
        <v>31042.217925000001</v>
      </c>
      <c r="BU34" s="71"/>
      <c r="BV34" s="96">
        <f t="shared" si="0"/>
        <v>44800.127249999998</v>
      </c>
      <c r="BW34" s="101">
        <f>BM34*(1-0.25)*(1-0.21)*(1-0.25)*1.2</f>
        <v>0.53325</v>
      </c>
      <c r="BX34" s="101">
        <f>SUBTOTAL(9,BM34,BW34)</f>
        <v>1.53325</v>
      </c>
    </row>
    <row r="35" spans="1:80" customFormat="1" ht="135" x14ac:dyDescent="0.25">
      <c r="A35" s="110" t="s">
        <v>134</v>
      </c>
      <c r="B35" s="5">
        <v>2201</v>
      </c>
      <c r="C35" s="8" t="s">
        <v>4</v>
      </c>
      <c r="D35" s="8" t="s">
        <v>5</v>
      </c>
      <c r="E35" s="8" t="s">
        <v>109</v>
      </c>
      <c r="F35" s="8"/>
      <c r="G35" s="77" t="s">
        <v>214</v>
      </c>
      <c r="H35" s="77" t="s">
        <v>6</v>
      </c>
      <c r="I35" s="8" t="s">
        <v>7</v>
      </c>
      <c r="J35" s="74" t="s">
        <v>7</v>
      </c>
      <c r="K35" s="74" t="s">
        <v>527</v>
      </c>
      <c r="L35" s="90" t="s">
        <v>600</v>
      </c>
      <c r="M35" s="81" t="s">
        <v>575</v>
      </c>
      <c r="N35" s="74" t="s">
        <v>6</v>
      </c>
      <c r="O35" s="74" t="s">
        <v>6</v>
      </c>
      <c r="P35" s="74" t="s">
        <v>221</v>
      </c>
      <c r="Q35" s="81">
        <v>13250</v>
      </c>
      <c r="R35" s="74" t="s">
        <v>222</v>
      </c>
      <c r="S35" s="79">
        <f t="shared" si="4"/>
        <v>7.1698113207547168E-2</v>
      </c>
      <c r="T35" s="80">
        <f t="shared" si="2"/>
        <v>13250</v>
      </c>
      <c r="U35" s="81">
        <v>6888</v>
      </c>
      <c r="V35" s="81">
        <v>7532</v>
      </c>
      <c r="W35" s="81">
        <v>11538</v>
      </c>
      <c r="X35" s="81">
        <v>7982</v>
      </c>
      <c r="Y35" s="81">
        <v>7621</v>
      </c>
      <c r="Z35" s="81">
        <v>10109</v>
      </c>
      <c r="AA35" s="81">
        <v>12300</v>
      </c>
      <c r="AB35" s="80">
        <v>10369</v>
      </c>
      <c r="AC35" s="80" t="s">
        <v>222</v>
      </c>
      <c r="AD35" s="80">
        <f>Q35/100*69</f>
        <v>9142.5</v>
      </c>
      <c r="AE35" s="86">
        <v>2881</v>
      </c>
      <c r="AF35" s="80" t="s">
        <v>222</v>
      </c>
      <c r="AG35" s="81" t="s">
        <v>75</v>
      </c>
      <c r="AH35" s="86">
        <v>0</v>
      </c>
      <c r="AI35" s="86">
        <v>0</v>
      </c>
      <c r="AJ35" s="80" t="s">
        <v>222</v>
      </c>
      <c r="AK35" s="80">
        <v>0</v>
      </c>
      <c r="AL35" s="86">
        <v>0</v>
      </c>
      <c r="AM35" s="86">
        <v>2</v>
      </c>
      <c r="AN35" s="80" t="s">
        <v>222</v>
      </c>
      <c r="AO35" s="74">
        <v>4</v>
      </c>
      <c r="AP35" s="86">
        <v>80</v>
      </c>
      <c r="AQ35" s="80" t="s">
        <v>223</v>
      </c>
      <c r="AR35" s="74">
        <v>16</v>
      </c>
      <c r="AS35" s="86">
        <v>550</v>
      </c>
      <c r="AT35" s="80" t="s">
        <v>223</v>
      </c>
      <c r="AU35" s="80" t="s">
        <v>6</v>
      </c>
      <c r="AV35" s="80" t="s">
        <v>6</v>
      </c>
      <c r="AW35" s="86">
        <v>100000</v>
      </c>
      <c r="AX35" s="80" t="s">
        <v>6</v>
      </c>
      <c r="AY35" s="88" t="s">
        <v>588</v>
      </c>
      <c r="AZ35" s="74" t="s">
        <v>6</v>
      </c>
      <c r="BA35" s="92">
        <v>9</v>
      </c>
      <c r="BB35" s="92">
        <v>5.45</v>
      </c>
      <c r="BC35" s="71" t="s">
        <v>6</v>
      </c>
      <c r="BD35" s="74">
        <v>100</v>
      </c>
      <c r="BE35" s="74"/>
      <c r="BF35" s="74">
        <v>80</v>
      </c>
      <c r="BG35" s="111">
        <v>50000</v>
      </c>
      <c r="BH35" s="74" t="s">
        <v>223</v>
      </c>
      <c r="BI35" s="96">
        <f t="shared" si="3"/>
        <v>357142.85714285716</v>
      </c>
      <c r="BJ35" s="111"/>
      <c r="BK35" s="111">
        <v>40000</v>
      </c>
      <c r="BL35" s="74">
        <v>3</v>
      </c>
      <c r="BM35" s="74"/>
      <c r="BN35" s="74" t="s">
        <v>222</v>
      </c>
      <c r="BO35" s="74">
        <v>0</v>
      </c>
      <c r="BP35" s="74">
        <v>0</v>
      </c>
      <c r="BQ35" s="104" t="s">
        <v>674</v>
      </c>
      <c r="BR35" s="104" t="s">
        <v>589</v>
      </c>
      <c r="BS35" s="71">
        <f>AD35/100*(44)*11.29</f>
        <v>45416.282999999996</v>
      </c>
      <c r="BT35" s="71">
        <f>AD35/100*(56)*22.59</f>
        <v>115656.28200000001</v>
      </c>
      <c r="BU35" s="71">
        <v>263100.96250000002</v>
      </c>
      <c r="BV35" s="96">
        <f t="shared" si="0"/>
        <v>424173.52750000003</v>
      </c>
      <c r="BW35" s="101">
        <f>BM35*(1-0.25)*(1-0.26)*(1-0.25)*1.2</f>
        <v>0</v>
      </c>
      <c r="BX35" s="101">
        <f>SUBTOTAL(9,BM35,BW35)</f>
        <v>0</v>
      </c>
      <c r="BY35" s="28"/>
      <c r="BZ35" s="28"/>
      <c r="CA35" s="28"/>
      <c r="CB35" s="28"/>
    </row>
    <row r="36" spans="1:80" customFormat="1" ht="75" x14ac:dyDescent="0.25">
      <c r="A36" s="110" t="s">
        <v>156</v>
      </c>
      <c r="B36" s="5">
        <v>1448</v>
      </c>
      <c r="C36" s="8" t="s">
        <v>4</v>
      </c>
      <c r="D36" s="8" t="s">
        <v>5</v>
      </c>
      <c r="E36" s="76" t="s">
        <v>137</v>
      </c>
      <c r="F36" s="94"/>
      <c r="G36" s="77" t="s">
        <v>6</v>
      </c>
      <c r="H36" s="77" t="s">
        <v>6</v>
      </c>
      <c r="I36" s="8" t="s">
        <v>7</v>
      </c>
      <c r="J36" s="74" t="s">
        <v>7</v>
      </c>
      <c r="K36" s="74" t="s">
        <v>526</v>
      </c>
      <c r="L36" s="90" t="s">
        <v>600</v>
      </c>
      <c r="M36" s="81">
        <v>802</v>
      </c>
      <c r="N36" s="74" t="s">
        <v>6</v>
      </c>
      <c r="O36" s="74" t="s">
        <v>221</v>
      </c>
      <c r="P36" s="74" t="s">
        <v>221</v>
      </c>
      <c r="Q36" s="81">
        <v>4500</v>
      </c>
      <c r="R36" s="74" t="s">
        <v>223</v>
      </c>
      <c r="S36" s="79">
        <f t="shared" si="4"/>
        <v>0.17888888888888888</v>
      </c>
      <c r="T36" s="80">
        <f t="shared" si="2"/>
        <v>4500</v>
      </c>
      <c r="U36" s="81">
        <v>4528</v>
      </c>
      <c r="V36" s="81">
        <v>4594</v>
      </c>
      <c r="W36" s="81">
        <v>5000</v>
      </c>
      <c r="X36" s="81">
        <v>4069</v>
      </c>
      <c r="Y36" s="81">
        <v>2681</v>
      </c>
      <c r="Z36" s="81">
        <v>3561</v>
      </c>
      <c r="AA36" s="81">
        <v>3695</v>
      </c>
      <c r="AB36" s="80">
        <v>4000</v>
      </c>
      <c r="AC36" s="80" t="s">
        <v>223</v>
      </c>
      <c r="AD36" s="80">
        <f>Q36/100*75</f>
        <v>3375</v>
      </c>
      <c r="AE36" s="86">
        <v>500</v>
      </c>
      <c r="AF36" s="80" t="s">
        <v>223</v>
      </c>
      <c r="AG36" s="81" t="s">
        <v>221</v>
      </c>
      <c r="AH36" s="86">
        <v>5</v>
      </c>
      <c r="AI36" s="86">
        <v>50</v>
      </c>
      <c r="AJ36" s="80" t="s">
        <v>223</v>
      </c>
      <c r="AK36" s="80">
        <v>0</v>
      </c>
      <c r="AL36" s="86">
        <v>0</v>
      </c>
      <c r="AM36" s="86">
        <v>1</v>
      </c>
      <c r="AN36" s="80" t="s">
        <v>222</v>
      </c>
      <c r="AO36" s="91">
        <v>5</v>
      </c>
      <c r="AP36" s="86">
        <v>60</v>
      </c>
      <c r="AQ36" s="80" t="s">
        <v>223</v>
      </c>
      <c r="AR36" s="91">
        <v>10</v>
      </c>
      <c r="AS36" s="86">
        <v>150</v>
      </c>
      <c r="AT36" s="80" t="s">
        <v>223</v>
      </c>
      <c r="AU36" s="80" t="s">
        <v>6</v>
      </c>
      <c r="AV36" s="80" t="s">
        <v>6</v>
      </c>
      <c r="AW36" s="86" t="s">
        <v>281</v>
      </c>
      <c r="AX36" s="80" t="s">
        <v>6</v>
      </c>
      <c r="AY36" s="88">
        <v>300</v>
      </c>
      <c r="AZ36" s="74" t="s">
        <v>221</v>
      </c>
      <c r="BA36" s="92" t="s">
        <v>266</v>
      </c>
      <c r="BB36" s="92" t="s">
        <v>266</v>
      </c>
      <c r="BC36" s="71" t="s">
        <v>221</v>
      </c>
      <c r="BD36" s="74">
        <v>40</v>
      </c>
      <c r="BE36" s="74">
        <v>34</v>
      </c>
      <c r="BF36" s="74">
        <v>120</v>
      </c>
      <c r="BG36" s="111">
        <v>340</v>
      </c>
      <c r="BH36" s="74" t="s">
        <v>223</v>
      </c>
      <c r="BI36" s="96">
        <f t="shared" si="3"/>
        <v>2428.5714285714284</v>
      </c>
      <c r="BJ36" s="111"/>
      <c r="BK36" s="111">
        <v>500</v>
      </c>
      <c r="BL36" s="74">
        <v>1</v>
      </c>
      <c r="BM36" s="74"/>
      <c r="BN36" s="74" t="s">
        <v>222</v>
      </c>
      <c r="BO36" s="74">
        <v>1</v>
      </c>
      <c r="BP36" s="74" t="s">
        <v>351</v>
      </c>
      <c r="BQ36" s="107" t="s">
        <v>266</v>
      </c>
      <c r="BR36" s="107" t="s">
        <v>75</v>
      </c>
      <c r="BS36" s="71">
        <f>AD36/100*(47)*14.08</f>
        <v>22334.400000000001</v>
      </c>
      <c r="BT36" s="71">
        <f>AD36/100*(53)*28.16</f>
        <v>50371.199999999997</v>
      </c>
      <c r="BU36" s="71">
        <v>17137.793750000001</v>
      </c>
      <c r="BV36" s="96">
        <f t="shared" si="0"/>
        <v>89843.393750000003</v>
      </c>
      <c r="BW36" s="101">
        <f>BM36*(1-0.25)*(1-0.21)*(1-0.25)*1.2</f>
        <v>0</v>
      </c>
      <c r="BX36" s="101">
        <f>SUBTOTAL(9,BM36,BW36)</f>
        <v>0</v>
      </c>
    </row>
    <row r="37" spans="1:80" customFormat="1" ht="75" x14ac:dyDescent="0.25">
      <c r="A37" s="110" t="s">
        <v>178</v>
      </c>
      <c r="B37" s="5">
        <v>592</v>
      </c>
      <c r="C37" s="8" t="s">
        <v>4</v>
      </c>
      <c r="D37" s="8" t="s">
        <v>5</v>
      </c>
      <c r="E37" s="76" t="s">
        <v>174</v>
      </c>
      <c r="F37" s="76"/>
      <c r="G37" s="77" t="s">
        <v>6</v>
      </c>
      <c r="H37" s="77" t="s">
        <v>6</v>
      </c>
      <c r="I37" s="8" t="s">
        <v>7</v>
      </c>
      <c r="J37" s="74" t="s">
        <v>7</v>
      </c>
      <c r="K37" s="74" t="s">
        <v>527</v>
      </c>
      <c r="L37" s="90" t="s">
        <v>600</v>
      </c>
      <c r="M37" s="81">
        <v>1120</v>
      </c>
      <c r="N37" s="74" t="s">
        <v>6</v>
      </c>
      <c r="O37" s="74" t="s">
        <v>221</v>
      </c>
      <c r="P37" s="74" t="s">
        <v>221</v>
      </c>
      <c r="Q37" s="81">
        <v>20418</v>
      </c>
      <c r="R37" s="74" t="s">
        <v>222</v>
      </c>
      <c r="S37" s="79">
        <f t="shared" si="4"/>
        <v>0.10799294739935351</v>
      </c>
      <c r="T37" s="80">
        <f t="shared" si="2"/>
        <v>20418</v>
      </c>
      <c r="U37" s="81">
        <v>21131</v>
      </c>
      <c r="V37" s="81">
        <v>19813</v>
      </c>
      <c r="W37" s="81">
        <v>19813</v>
      </c>
      <c r="X37" s="81">
        <v>20012</v>
      </c>
      <c r="Y37" s="81">
        <v>22000</v>
      </c>
      <c r="Z37" s="81">
        <v>19000</v>
      </c>
      <c r="AA37" s="81">
        <v>18213</v>
      </c>
      <c r="AB37" s="80">
        <v>17345</v>
      </c>
      <c r="AC37" s="80" t="s">
        <v>222</v>
      </c>
      <c r="AD37" s="80">
        <f>Q37/100*69</f>
        <v>14088.42</v>
      </c>
      <c r="AE37" s="86">
        <v>3356</v>
      </c>
      <c r="AF37" s="80" t="s">
        <v>222</v>
      </c>
      <c r="AG37" s="81" t="s">
        <v>295</v>
      </c>
      <c r="AH37" s="86">
        <v>22</v>
      </c>
      <c r="AI37" s="86">
        <v>693</v>
      </c>
      <c r="AJ37" s="80" t="s">
        <v>222</v>
      </c>
      <c r="AK37" s="80">
        <v>0</v>
      </c>
      <c r="AL37" s="86" t="s">
        <v>75</v>
      </c>
      <c r="AM37" s="86" t="s">
        <v>75</v>
      </c>
      <c r="AN37" s="80" t="s">
        <v>222</v>
      </c>
      <c r="AO37" s="74">
        <v>15</v>
      </c>
      <c r="AP37" s="86">
        <v>200</v>
      </c>
      <c r="AQ37" s="80" t="s">
        <v>223</v>
      </c>
      <c r="AR37" s="74">
        <v>0</v>
      </c>
      <c r="AS37" s="86">
        <v>0</v>
      </c>
      <c r="AT37" s="80" t="s">
        <v>222</v>
      </c>
      <c r="AU37" s="80" t="s">
        <v>6</v>
      </c>
      <c r="AV37" s="80" t="s">
        <v>6</v>
      </c>
      <c r="AW37" s="86" t="s">
        <v>281</v>
      </c>
      <c r="AX37" s="80" t="s">
        <v>6</v>
      </c>
      <c r="AY37" s="88">
        <v>300</v>
      </c>
      <c r="AZ37" s="74" t="s">
        <v>221</v>
      </c>
      <c r="BA37" s="92" t="s">
        <v>266</v>
      </c>
      <c r="BB37" s="92" t="s">
        <v>266</v>
      </c>
      <c r="BC37" s="71" t="s">
        <v>221</v>
      </c>
      <c r="BD37" s="74">
        <v>35</v>
      </c>
      <c r="BE37" s="74">
        <v>25</v>
      </c>
      <c r="BF37" s="74">
        <v>30</v>
      </c>
      <c r="BG37" s="111">
        <v>1200</v>
      </c>
      <c r="BH37" s="74" t="s">
        <v>223</v>
      </c>
      <c r="BI37" s="96">
        <f t="shared" si="3"/>
        <v>8571.4285714285706</v>
      </c>
      <c r="BJ37" s="111">
        <v>550</v>
      </c>
      <c r="BK37" s="111">
        <v>560</v>
      </c>
      <c r="BL37" s="74">
        <v>3</v>
      </c>
      <c r="BM37" s="74">
        <v>0.8</v>
      </c>
      <c r="BN37" s="74" t="s">
        <v>223</v>
      </c>
      <c r="BO37" s="74">
        <v>4</v>
      </c>
      <c r="BP37" s="74">
        <v>0.7</v>
      </c>
      <c r="BQ37" s="104" t="s">
        <v>304</v>
      </c>
      <c r="BR37" s="104" t="s">
        <v>75</v>
      </c>
      <c r="BS37" s="71">
        <f>AD37/100*(44)*12.86</f>
        <v>79717.915727999993</v>
      </c>
      <c r="BT37" s="71">
        <f>AD37/100*(56)*25.73</f>
        <v>202997.226096</v>
      </c>
      <c r="BU37" s="71">
        <v>35288.6</v>
      </c>
      <c r="BV37" s="96">
        <f t="shared" si="0"/>
        <v>318003.74182399997</v>
      </c>
      <c r="BW37" s="101">
        <f>BM37*(1-0.25)*(1-0.26)*(1-0.25)*1.2</f>
        <v>0.39960000000000007</v>
      </c>
      <c r="BX37" s="101">
        <f>SUBTOTAL(9,BM37,BW37)</f>
        <v>1.1996000000000002</v>
      </c>
    </row>
    <row r="38" spans="1:80" customFormat="1" ht="90" x14ac:dyDescent="0.25">
      <c r="A38" s="110" t="s">
        <v>67</v>
      </c>
      <c r="B38" s="5">
        <v>305</v>
      </c>
      <c r="C38" s="8" t="s">
        <v>4</v>
      </c>
      <c r="D38" s="8" t="s">
        <v>5</v>
      </c>
      <c r="E38" s="8" t="s">
        <v>68</v>
      </c>
      <c r="F38" s="8"/>
      <c r="G38" s="77" t="s">
        <v>6</v>
      </c>
      <c r="H38" s="77" t="s">
        <v>6</v>
      </c>
      <c r="I38" s="8" t="s">
        <v>7</v>
      </c>
      <c r="J38" s="74" t="s">
        <v>7</v>
      </c>
      <c r="K38" s="74" t="s">
        <v>527</v>
      </c>
      <c r="L38" s="90" t="s">
        <v>599</v>
      </c>
      <c r="M38" s="81">
        <v>2178</v>
      </c>
      <c r="N38" s="75" t="s">
        <v>6</v>
      </c>
      <c r="O38" s="75" t="s">
        <v>221</v>
      </c>
      <c r="P38" s="75" t="s">
        <v>6</v>
      </c>
      <c r="Q38" s="81">
        <v>10317</v>
      </c>
      <c r="R38" s="74" t="s">
        <v>223</v>
      </c>
      <c r="S38" s="79">
        <f t="shared" si="4"/>
        <v>-1.9078220412910729</v>
      </c>
      <c r="T38" s="80">
        <f t="shared" si="2"/>
        <v>10317</v>
      </c>
      <c r="U38" s="81">
        <v>58811</v>
      </c>
      <c r="V38" s="81">
        <v>57738</v>
      </c>
      <c r="W38" s="81">
        <v>42107</v>
      </c>
      <c r="X38" s="81"/>
      <c r="Y38" s="81">
        <v>10597</v>
      </c>
      <c r="Z38" s="81">
        <v>12126</v>
      </c>
      <c r="AA38" s="81">
        <v>30000</v>
      </c>
      <c r="AB38" s="80">
        <v>8033</v>
      </c>
      <c r="AC38" s="80" t="s">
        <v>222</v>
      </c>
      <c r="AD38" s="80">
        <f>Q38/100*69</f>
        <v>7118.7300000000005</v>
      </c>
      <c r="AE38" s="86">
        <v>2284</v>
      </c>
      <c r="AF38" s="80" t="s">
        <v>223</v>
      </c>
      <c r="AG38" s="81" t="s">
        <v>306</v>
      </c>
      <c r="AH38" s="86">
        <v>5</v>
      </c>
      <c r="AI38" s="86">
        <v>200</v>
      </c>
      <c r="AJ38" s="80" t="s">
        <v>223</v>
      </c>
      <c r="AK38" s="80">
        <v>0</v>
      </c>
      <c r="AL38" s="86">
        <v>0</v>
      </c>
      <c r="AM38" s="86">
        <v>0</v>
      </c>
      <c r="AN38" s="80" t="s">
        <v>222</v>
      </c>
      <c r="AO38" s="75">
        <v>4</v>
      </c>
      <c r="AP38" s="86">
        <v>100</v>
      </c>
      <c r="AQ38" s="80" t="s">
        <v>223</v>
      </c>
      <c r="AR38" s="75">
        <v>15</v>
      </c>
      <c r="AS38" s="86">
        <v>350</v>
      </c>
      <c r="AT38" s="80" t="s">
        <v>223</v>
      </c>
      <c r="AU38" s="80" t="s">
        <v>6</v>
      </c>
      <c r="AV38" s="80" t="s">
        <v>6</v>
      </c>
      <c r="AW38" s="86" t="s">
        <v>307</v>
      </c>
      <c r="AX38" s="80" t="s">
        <v>6</v>
      </c>
      <c r="AY38" s="88">
        <v>3219</v>
      </c>
      <c r="AZ38" s="75" t="s">
        <v>6</v>
      </c>
      <c r="BA38" s="92">
        <v>8</v>
      </c>
      <c r="BB38" s="92">
        <v>4</v>
      </c>
      <c r="BC38" s="71" t="s">
        <v>221</v>
      </c>
      <c r="BD38" s="74">
        <v>50</v>
      </c>
      <c r="BE38" s="74">
        <v>45</v>
      </c>
      <c r="BF38" s="74">
        <v>50</v>
      </c>
      <c r="BG38" s="111">
        <v>5000</v>
      </c>
      <c r="BH38" s="74" t="s">
        <v>223</v>
      </c>
      <c r="BI38" s="96">
        <f t="shared" si="3"/>
        <v>35714.285714285717</v>
      </c>
      <c r="BJ38" s="111">
        <v>5000</v>
      </c>
      <c r="BK38" s="111">
        <v>10000</v>
      </c>
      <c r="BL38" s="74">
        <v>6</v>
      </c>
      <c r="BM38" s="74">
        <v>4</v>
      </c>
      <c r="BN38" s="74" t="s">
        <v>222</v>
      </c>
      <c r="BO38" s="74">
        <v>11</v>
      </c>
      <c r="BP38" s="74">
        <v>5</v>
      </c>
      <c r="BQ38" s="106" t="s">
        <v>75</v>
      </c>
      <c r="BR38" s="106" t="s">
        <v>675</v>
      </c>
      <c r="BS38" s="71">
        <f>AD38/100*(44)*12.91</f>
        <v>40437.233892000004</v>
      </c>
      <c r="BT38" s="71">
        <f>AD38/100*(56)*25.82</f>
        <v>102931.14081600001</v>
      </c>
      <c r="BU38" s="71">
        <v>316475.23749999999</v>
      </c>
      <c r="BV38" s="96">
        <f t="shared" si="0"/>
        <v>459843.61220800004</v>
      </c>
      <c r="BW38" s="102">
        <f>BM38*(1-0.25)*(1-0.26)*(1-0.25)*1.2</f>
        <v>1.9979999999999998</v>
      </c>
      <c r="BX38" s="102">
        <f>SUBTOTAL(9,BM38,BW38)</f>
        <v>5.9979999999999993</v>
      </c>
    </row>
    <row r="39" spans="1:80" customFormat="1" ht="75" x14ac:dyDescent="0.25">
      <c r="A39" s="110" t="s">
        <v>144</v>
      </c>
      <c r="B39" s="5">
        <v>737</v>
      </c>
      <c r="C39" s="8" t="s">
        <v>4</v>
      </c>
      <c r="D39" s="8" t="s">
        <v>5</v>
      </c>
      <c r="E39" s="76" t="s">
        <v>137</v>
      </c>
      <c r="F39" s="94" t="s">
        <v>141</v>
      </c>
      <c r="G39" s="77" t="s">
        <v>214</v>
      </c>
      <c r="H39" s="77" t="s">
        <v>6</v>
      </c>
      <c r="I39" s="8" t="s">
        <v>9</v>
      </c>
      <c r="J39" s="75" t="s">
        <v>9</v>
      </c>
      <c r="K39" s="75" t="s">
        <v>526</v>
      </c>
      <c r="L39" s="122" t="s">
        <v>600</v>
      </c>
      <c r="M39" s="81" t="s">
        <v>554</v>
      </c>
      <c r="N39" s="74" t="s">
        <v>221</v>
      </c>
      <c r="O39" s="74" t="s">
        <v>221</v>
      </c>
      <c r="P39" s="74" t="s">
        <v>221</v>
      </c>
      <c r="Q39" s="81">
        <v>9428</v>
      </c>
      <c r="R39" s="74" t="s">
        <v>75</v>
      </c>
      <c r="S39" s="79">
        <f t="shared" si="4"/>
        <v>-9.5354263894781507E-2</v>
      </c>
      <c r="T39" s="80">
        <f t="shared" si="2"/>
        <v>9428</v>
      </c>
      <c r="U39" s="81"/>
      <c r="V39" s="81"/>
      <c r="W39" s="81">
        <v>12727</v>
      </c>
      <c r="X39" s="81">
        <v>11022</v>
      </c>
      <c r="Y39" s="81">
        <v>10661</v>
      </c>
      <c r="Z39" s="81">
        <v>11300</v>
      </c>
      <c r="AA39" s="81">
        <v>10327</v>
      </c>
      <c r="AB39" s="80">
        <v>7352</v>
      </c>
      <c r="AC39" s="80" t="s">
        <v>75</v>
      </c>
      <c r="AD39" s="80">
        <f>Q39/100*75</f>
        <v>7071</v>
      </c>
      <c r="AE39" s="86">
        <v>2076</v>
      </c>
      <c r="AF39" s="80" t="s">
        <v>75</v>
      </c>
      <c r="AG39" s="81" t="s">
        <v>552</v>
      </c>
      <c r="AH39" s="86">
        <v>15</v>
      </c>
      <c r="AI39" s="86">
        <v>679</v>
      </c>
      <c r="AJ39" s="80" t="s">
        <v>75</v>
      </c>
      <c r="AK39" s="80">
        <v>0</v>
      </c>
      <c r="AL39" s="86">
        <v>0</v>
      </c>
      <c r="AM39" s="86">
        <v>0</v>
      </c>
      <c r="AN39" s="80" t="s">
        <v>75</v>
      </c>
      <c r="AO39" s="74">
        <v>13</v>
      </c>
      <c r="AP39" s="86">
        <v>612</v>
      </c>
      <c r="AQ39" s="80" t="s">
        <v>75</v>
      </c>
      <c r="AR39" s="74">
        <v>0</v>
      </c>
      <c r="AS39" s="86">
        <v>0</v>
      </c>
      <c r="AT39" s="80" t="s">
        <v>75</v>
      </c>
      <c r="AU39" s="80" t="s">
        <v>6</v>
      </c>
      <c r="AV39" s="80" t="s">
        <v>75</v>
      </c>
      <c r="AW39" s="86" t="s">
        <v>75</v>
      </c>
      <c r="AX39" s="80" t="s">
        <v>6</v>
      </c>
      <c r="AY39" s="88" t="s">
        <v>555</v>
      </c>
      <c r="AZ39" s="74" t="s">
        <v>6</v>
      </c>
      <c r="BA39" s="92">
        <v>5</v>
      </c>
      <c r="BB39" s="92">
        <v>4</v>
      </c>
      <c r="BC39" s="71" t="s">
        <v>75</v>
      </c>
      <c r="BD39" s="74" t="s">
        <v>75</v>
      </c>
      <c r="BE39" s="74"/>
      <c r="BF39" s="74" t="s">
        <v>611</v>
      </c>
      <c r="BG39" s="111" t="s">
        <v>75</v>
      </c>
      <c r="BH39" s="74" t="s">
        <v>75</v>
      </c>
      <c r="BI39" s="96"/>
      <c r="BJ39" s="111"/>
      <c r="BK39" s="111" t="s">
        <v>611</v>
      </c>
      <c r="BL39" s="74" t="s">
        <v>75</v>
      </c>
      <c r="BM39" s="74" t="s">
        <v>75</v>
      </c>
      <c r="BN39" s="74" t="s">
        <v>75</v>
      </c>
      <c r="BO39" s="75" t="s">
        <v>611</v>
      </c>
      <c r="BP39" s="75" t="s">
        <v>611</v>
      </c>
      <c r="BQ39" s="104" t="s">
        <v>75</v>
      </c>
      <c r="BR39" s="104" t="s">
        <v>75</v>
      </c>
      <c r="BS39" s="71">
        <f>AD39/100*(47)*14.08</f>
        <v>46793.049599999998</v>
      </c>
      <c r="BT39" s="71">
        <f>AD39/100*(53)*28.16</f>
        <v>105533.26079999999</v>
      </c>
      <c r="BU39" s="71"/>
      <c r="BV39" s="96">
        <f t="shared" si="0"/>
        <v>152326.31039999999</v>
      </c>
      <c r="BW39" s="101"/>
      <c r="BX39" s="101">
        <f>SUBTOTAL(9,BM39,BW39)</f>
        <v>0</v>
      </c>
      <c r="BY39" s="28"/>
      <c r="BZ39" s="28"/>
      <c r="CA39" s="28"/>
    </row>
    <row r="40" spans="1:80" customFormat="1" ht="45" x14ac:dyDescent="0.25">
      <c r="A40" s="18" t="s">
        <v>43</v>
      </c>
      <c r="B40" s="5">
        <v>776</v>
      </c>
      <c r="C40" s="8" t="s">
        <v>4</v>
      </c>
      <c r="D40" s="8" t="s">
        <v>5</v>
      </c>
      <c r="E40" s="95" t="s">
        <v>25</v>
      </c>
      <c r="F40" s="78"/>
      <c r="G40" s="77" t="s">
        <v>6</v>
      </c>
      <c r="H40" s="77" t="s">
        <v>6</v>
      </c>
      <c r="I40" s="8" t="s">
        <v>7</v>
      </c>
      <c r="J40" s="74" t="s">
        <v>7</v>
      </c>
      <c r="K40" s="74" t="s">
        <v>526</v>
      </c>
      <c r="L40" s="90" t="s">
        <v>599</v>
      </c>
      <c r="M40" s="81">
        <v>1780</v>
      </c>
      <c r="N40" s="74" t="s">
        <v>6</v>
      </c>
      <c r="O40" s="74" t="s">
        <v>221</v>
      </c>
      <c r="P40" s="74" t="s">
        <v>221</v>
      </c>
      <c r="Q40" s="81">
        <v>9132</v>
      </c>
      <c r="R40" s="74" t="s">
        <v>222</v>
      </c>
      <c r="S40" s="79">
        <f t="shared" si="4"/>
        <v>-9.4283837056504602E-2</v>
      </c>
      <c r="T40" s="80">
        <f t="shared" si="2"/>
        <v>9132</v>
      </c>
      <c r="U40" s="81">
        <v>9429</v>
      </c>
      <c r="V40" s="81">
        <v>11406</v>
      </c>
      <c r="W40" s="81">
        <v>13804</v>
      </c>
      <c r="X40" s="81">
        <v>12592</v>
      </c>
      <c r="Y40" s="81">
        <v>10841</v>
      </c>
      <c r="Z40" s="81">
        <v>11144</v>
      </c>
      <c r="AA40" s="81">
        <v>9993</v>
      </c>
      <c r="AB40" s="80">
        <v>5074</v>
      </c>
      <c r="AC40" s="80" t="s">
        <v>222</v>
      </c>
      <c r="AD40" s="80">
        <f>Q40/100*75</f>
        <v>6848.9999999999991</v>
      </c>
      <c r="AE40" s="86">
        <v>4058</v>
      </c>
      <c r="AF40" s="80" t="s">
        <v>222</v>
      </c>
      <c r="AG40" s="81" t="s">
        <v>308</v>
      </c>
      <c r="AH40" s="86">
        <v>150</v>
      </c>
      <c r="AI40" s="86">
        <v>2459</v>
      </c>
      <c r="AJ40" s="80" t="s">
        <v>222</v>
      </c>
      <c r="AK40" s="80">
        <v>102</v>
      </c>
      <c r="AL40" s="86">
        <v>893</v>
      </c>
      <c r="AM40" s="86">
        <v>43</v>
      </c>
      <c r="AN40" s="80" t="s">
        <v>222</v>
      </c>
      <c r="AO40" s="74">
        <v>12</v>
      </c>
      <c r="AP40" s="86">
        <v>50</v>
      </c>
      <c r="AQ40" s="80" t="s">
        <v>223</v>
      </c>
      <c r="AR40" s="74">
        <v>7</v>
      </c>
      <c r="AS40" s="86">
        <v>900</v>
      </c>
      <c r="AT40" s="80" t="s">
        <v>223</v>
      </c>
      <c r="AU40" s="80" t="s">
        <v>6</v>
      </c>
      <c r="AV40" s="80" t="s">
        <v>6</v>
      </c>
      <c r="AW40" s="86">
        <v>1200</v>
      </c>
      <c r="AX40" s="80" t="s">
        <v>6</v>
      </c>
      <c r="AY40" s="88">
        <v>1731</v>
      </c>
      <c r="AZ40" s="74" t="s">
        <v>6</v>
      </c>
      <c r="BA40" s="92">
        <v>4.5</v>
      </c>
      <c r="BB40" s="92">
        <v>1</v>
      </c>
      <c r="BC40" s="71" t="s">
        <v>6</v>
      </c>
      <c r="BD40" s="74">
        <v>96</v>
      </c>
      <c r="BE40" s="74">
        <v>63</v>
      </c>
      <c r="BF40" s="74">
        <v>87</v>
      </c>
      <c r="BG40" s="111">
        <v>2912</v>
      </c>
      <c r="BH40" s="74" t="s">
        <v>222</v>
      </c>
      <c r="BI40" s="96">
        <f>BG40/7*50</f>
        <v>20800</v>
      </c>
      <c r="BJ40" s="111">
        <v>2321</v>
      </c>
      <c r="BK40" s="111">
        <v>2472</v>
      </c>
      <c r="BL40" s="74">
        <v>9</v>
      </c>
      <c r="BM40" s="74">
        <v>4.4000000000000004</v>
      </c>
      <c r="BN40" s="74" t="s">
        <v>222</v>
      </c>
      <c r="BO40" s="74">
        <v>8</v>
      </c>
      <c r="BP40" s="74">
        <v>4.4000000000000004</v>
      </c>
      <c r="BQ40" s="104" t="s">
        <v>309</v>
      </c>
      <c r="BR40" s="104" t="s">
        <v>75</v>
      </c>
      <c r="BS40" s="71">
        <f>AD40/100*(47)*17.99</f>
        <v>57910.349699999992</v>
      </c>
      <c r="BT40" s="71">
        <f>AD40/100*(53)*35.98</f>
        <v>130606.32059999998</v>
      </c>
      <c r="BU40" s="71">
        <v>79073.741249999992</v>
      </c>
      <c r="BV40" s="96">
        <f t="shared" si="0"/>
        <v>267590.41154999996</v>
      </c>
      <c r="BW40" s="101">
        <f>BM40*(1-0.25)*(1-0.21)*(1-0.25)*1.2</f>
        <v>2.3463000000000003</v>
      </c>
      <c r="BX40" s="101">
        <f>SUBTOTAL(9,BM40,BW40)</f>
        <v>6.7463000000000006</v>
      </c>
    </row>
    <row r="41" spans="1:80" customFormat="1" ht="240" x14ac:dyDescent="0.25">
      <c r="A41" s="18" t="s">
        <v>92</v>
      </c>
      <c r="B41" s="5">
        <v>1474</v>
      </c>
      <c r="C41" s="8" t="s">
        <v>30</v>
      </c>
      <c r="D41" s="8" t="s">
        <v>5</v>
      </c>
      <c r="E41" s="8" t="s">
        <v>68</v>
      </c>
      <c r="F41" s="8"/>
      <c r="G41" s="77" t="s">
        <v>6</v>
      </c>
      <c r="H41" s="77" t="s">
        <v>6</v>
      </c>
      <c r="I41" s="8" t="s">
        <v>9</v>
      </c>
      <c r="J41" s="74" t="s">
        <v>9</v>
      </c>
      <c r="K41" s="74" t="s">
        <v>526</v>
      </c>
      <c r="L41" s="90" t="s">
        <v>599</v>
      </c>
      <c r="M41" s="81">
        <v>1568</v>
      </c>
      <c r="N41" s="74" t="s">
        <v>6</v>
      </c>
      <c r="O41" s="74" t="s">
        <v>221</v>
      </c>
      <c r="P41" s="74" t="s">
        <v>221</v>
      </c>
      <c r="Q41" s="81">
        <v>16336</v>
      </c>
      <c r="R41" s="74" t="s">
        <v>222</v>
      </c>
      <c r="S41" s="79">
        <f t="shared" si="4"/>
        <v>0.89275220372184139</v>
      </c>
      <c r="T41" s="80">
        <f t="shared" si="2"/>
        <v>16336</v>
      </c>
      <c r="U41" s="81">
        <v>11805</v>
      </c>
      <c r="V41" s="81">
        <v>12397</v>
      </c>
      <c r="W41" s="81">
        <v>18903</v>
      </c>
      <c r="X41" s="81">
        <v>18660</v>
      </c>
      <c r="Y41" s="81">
        <v>16097</v>
      </c>
      <c r="Z41" s="81">
        <v>10347</v>
      </c>
      <c r="AA41" s="81">
        <v>1752</v>
      </c>
      <c r="AB41" s="80">
        <v>11440</v>
      </c>
      <c r="AC41" s="80" t="s">
        <v>222</v>
      </c>
      <c r="AD41" s="80">
        <f>Q41/100*75</f>
        <v>12252.000000000002</v>
      </c>
      <c r="AE41" s="86">
        <v>4896</v>
      </c>
      <c r="AF41" s="80" t="s">
        <v>222</v>
      </c>
      <c r="AG41" s="81" t="s">
        <v>75</v>
      </c>
      <c r="AH41" s="86">
        <v>22</v>
      </c>
      <c r="AI41" s="86">
        <v>614</v>
      </c>
      <c r="AJ41" s="80" t="s">
        <v>222</v>
      </c>
      <c r="AK41" s="80" t="s">
        <v>310</v>
      </c>
      <c r="AL41" s="86" t="s">
        <v>311</v>
      </c>
      <c r="AM41" s="86" t="s">
        <v>312</v>
      </c>
      <c r="AN41" s="80" t="s">
        <v>222</v>
      </c>
      <c r="AO41" s="74">
        <v>36</v>
      </c>
      <c r="AP41" s="86">
        <v>1457</v>
      </c>
      <c r="AQ41" s="80" t="s">
        <v>223</v>
      </c>
      <c r="AR41" s="74">
        <v>5</v>
      </c>
      <c r="AS41" s="86">
        <v>519</v>
      </c>
      <c r="AT41" s="80" t="s">
        <v>222</v>
      </c>
      <c r="AU41" s="80" t="s">
        <v>6</v>
      </c>
      <c r="AV41" s="80" t="s">
        <v>6</v>
      </c>
      <c r="AW41" s="86">
        <v>8580</v>
      </c>
      <c r="AX41" s="80" t="s">
        <v>6</v>
      </c>
      <c r="AY41" s="88">
        <v>361025</v>
      </c>
      <c r="AZ41" s="74" t="s">
        <v>221</v>
      </c>
      <c r="BA41" s="92" t="s">
        <v>266</v>
      </c>
      <c r="BB41" s="92" t="s">
        <v>266</v>
      </c>
      <c r="BC41" s="71" t="s">
        <v>221</v>
      </c>
      <c r="BD41" s="74">
        <v>39</v>
      </c>
      <c r="BE41" s="74">
        <v>10</v>
      </c>
      <c r="BF41" s="74">
        <v>25</v>
      </c>
      <c r="BG41" s="111">
        <v>2345</v>
      </c>
      <c r="BH41" s="74" t="s">
        <v>222</v>
      </c>
      <c r="BI41" s="96">
        <f>BG41/7*50</f>
        <v>16750</v>
      </c>
      <c r="BJ41" s="111">
        <v>2160</v>
      </c>
      <c r="BK41" s="111">
        <v>590</v>
      </c>
      <c r="BL41" s="74">
        <v>14</v>
      </c>
      <c r="BM41" s="74">
        <v>12</v>
      </c>
      <c r="BN41" s="74" t="s">
        <v>222</v>
      </c>
      <c r="BO41" s="74">
        <v>18</v>
      </c>
      <c r="BP41" s="74">
        <v>14</v>
      </c>
      <c r="BQ41" s="104" t="s">
        <v>313</v>
      </c>
      <c r="BR41" s="104" t="s">
        <v>314</v>
      </c>
      <c r="BS41" s="71">
        <f>AD41/100*(47)*12.91</f>
        <v>74341.460400000025</v>
      </c>
      <c r="BT41" s="71">
        <f>AD41/100*(53)*25.82</f>
        <v>167663.71920000002</v>
      </c>
      <c r="BU41" s="71">
        <v>482555.68374999997</v>
      </c>
      <c r="BV41" s="96">
        <f t="shared" si="0"/>
        <v>724560.86335</v>
      </c>
      <c r="BW41" s="101">
        <f>BM41*(1-0.25)*(1-0.21)*(1-0.25)*1.2</f>
        <v>6.399</v>
      </c>
      <c r="BX41" s="101">
        <f>SUBTOTAL(9,BM41,BW41)</f>
        <v>18.399000000000001</v>
      </c>
    </row>
    <row r="42" spans="1:80" customFormat="1" ht="90" x14ac:dyDescent="0.25">
      <c r="A42" s="18" t="s">
        <v>96</v>
      </c>
      <c r="B42" s="5">
        <v>1932</v>
      </c>
      <c r="C42" s="8" t="s">
        <v>4</v>
      </c>
      <c r="D42" s="8" t="s">
        <v>5</v>
      </c>
      <c r="E42" s="8" t="s">
        <v>68</v>
      </c>
      <c r="F42" s="8"/>
      <c r="G42" s="77" t="s">
        <v>6</v>
      </c>
      <c r="H42" s="77" t="s">
        <v>6</v>
      </c>
      <c r="I42" s="8" t="s">
        <v>27</v>
      </c>
      <c r="J42" s="74" t="s">
        <v>27</v>
      </c>
      <c r="K42" s="74" t="s">
        <v>526</v>
      </c>
      <c r="L42" s="90" t="s">
        <v>600</v>
      </c>
      <c r="M42" s="81" t="s">
        <v>315</v>
      </c>
      <c r="N42" s="74" t="s">
        <v>221</v>
      </c>
      <c r="O42" s="74" t="s">
        <v>221</v>
      </c>
      <c r="P42" s="74" t="s">
        <v>221</v>
      </c>
      <c r="Q42" s="81">
        <v>1000</v>
      </c>
      <c r="R42" s="74" t="s">
        <v>223</v>
      </c>
      <c r="S42" s="79">
        <f t="shared" si="4"/>
        <v>7.9000000000000001E-2</v>
      </c>
      <c r="T42" s="80">
        <f t="shared" si="2"/>
        <v>1000</v>
      </c>
      <c r="U42" s="81"/>
      <c r="V42" s="81"/>
      <c r="W42" s="81">
        <v>7220</v>
      </c>
      <c r="X42" s="81">
        <v>21520</v>
      </c>
      <c r="Y42" s="81">
        <v>15308</v>
      </c>
      <c r="Z42" s="81">
        <v>8630</v>
      </c>
      <c r="AA42" s="81">
        <v>921</v>
      </c>
      <c r="AB42" s="80">
        <v>750</v>
      </c>
      <c r="AC42" s="80" t="s">
        <v>223</v>
      </c>
      <c r="AD42" s="80">
        <f>Q42/100*75</f>
        <v>750</v>
      </c>
      <c r="AE42" s="86">
        <v>250</v>
      </c>
      <c r="AF42" s="80" t="s">
        <v>223</v>
      </c>
      <c r="AG42" s="81" t="s">
        <v>317</v>
      </c>
      <c r="AH42" s="86">
        <v>90</v>
      </c>
      <c r="AI42" s="86">
        <v>600</v>
      </c>
      <c r="AJ42" s="80" t="s">
        <v>223</v>
      </c>
      <c r="AK42" s="80">
        <v>0</v>
      </c>
      <c r="AL42" s="86" t="s">
        <v>75</v>
      </c>
      <c r="AM42" s="86">
        <v>5</v>
      </c>
      <c r="AN42" s="80" t="s">
        <v>223</v>
      </c>
      <c r="AO42" s="74">
        <v>3</v>
      </c>
      <c r="AP42" s="86">
        <v>100</v>
      </c>
      <c r="AQ42" s="80" t="s">
        <v>223</v>
      </c>
      <c r="AR42" s="74">
        <v>0</v>
      </c>
      <c r="AS42" s="86" t="s">
        <v>75</v>
      </c>
      <c r="AT42" s="80" t="s">
        <v>75</v>
      </c>
      <c r="AU42" s="80" t="s">
        <v>6</v>
      </c>
      <c r="AV42" s="80" t="s">
        <v>6</v>
      </c>
      <c r="AW42" s="86">
        <v>1000</v>
      </c>
      <c r="AX42" s="80" t="s">
        <v>6</v>
      </c>
      <c r="AY42" s="88" t="s">
        <v>316</v>
      </c>
      <c r="AZ42" s="74" t="s">
        <v>221</v>
      </c>
      <c r="BA42" s="92" t="s">
        <v>266</v>
      </c>
      <c r="BB42" s="92" t="s">
        <v>266</v>
      </c>
      <c r="BC42" s="71" t="s">
        <v>221</v>
      </c>
      <c r="BD42" s="74" t="s">
        <v>75</v>
      </c>
      <c r="BE42" s="74">
        <v>0</v>
      </c>
      <c r="BF42" s="74">
        <v>0</v>
      </c>
      <c r="BG42" s="111" t="s">
        <v>75</v>
      </c>
      <c r="BH42" s="74" t="s">
        <v>75</v>
      </c>
      <c r="BI42" s="96"/>
      <c r="BJ42" s="111">
        <v>0</v>
      </c>
      <c r="BK42" s="111">
        <v>0</v>
      </c>
      <c r="BL42" s="74">
        <v>3</v>
      </c>
      <c r="BM42" s="74">
        <v>1.88</v>
      </c>
      <c r="BN42" s="74" t="s">
        <v>222</v>
      </c>
      <c r="BO42" s="74">
        <v>3</v>
      </c>
      <c r="BP42" s="74">
        <v>3</v>
      </c>
      <c r="BQ42" s="104" t="s">
        <v>75</v>
      </c>
      <c r="BR42" s="104" t="s">
        <v>75</v>
      </c>
      <c r="BS42" s="71">
        <f>AD42/100*(47)*12.91</f>
        <v>4550.7749999999996</v>
      </c>
      <c r="BT42" s="71">
        <f>AD42/100*(53)*25.82</f>
        <v>10263.450000000001</v>
      </c>
      <c r="BU42" s="71">
        <v>18252.5</v>
      </c>
      <c r="BV42" s="96">
        <f t="shared" si="0"/>
        <v>33066.724999999999</v>
      </c>
      <c r="BW42" s="101">
        <f>BM42*(1-0.25)*(1-0.21)*(1-0.25)*1.2</f>
        <v>1.0025099999999998</v>
      </c>
      <c r="BX42" s="101">
        <f>SUBTOTAL(9,BM42,BW42)</f>
        <v>2.8825099999999999</v>
      </c>
    </row>
    <row r="43" spans="1:80" customFormat="1" ht="45" x14ac:dyDescent="0.25">
      <c r="A43" s="110" t="s">
        <v>103</v>
      </c>
      <c r="B43" s="5">
        <v>2274</v>
      </c>
      <c r="C43" s="8" t="s">
        <v>4</v>
      </c>
      <c r="D43" s="8" t="s">
        <v>5</v>
      </c>
      <c r="E43" s="8" t="s">
        <v>68</v>
      </c>
      <c r="F43" s="8"/>
      <c r="G43" s="77" t="s">
        <v>6</v>
      </c>
      <c r="H43" s="77" t="s">
        <v>6</v>
      </c>
      <c r="I43" s="8" t="s">
        <v>9</v>
      </c>
      <c r="J43" s="74" t="s">
        <v>9</v>
      </c>
      <c r="K43" s="74" t="s">
        <v>527</v>
      </c>
      <c r="L43" s="90" t="s">
        <v>602</v>
      </c>
      <c r="M43" s="81">
        <v>1000</v>
      </c>
      <c r="N43" s="74" t="s">
        <v>221</v>
      </c>
      <c r="O43" s="74" t="s">
        <v>221</v>
      </c>
      <c r="P43" s="74" t="s">
        <v>221</v>
      </c>
      <c r="Q43" s="81">
        <v>20000</v>
      </c>
      <c r="R43" s="74" t="s">
        <v>223</v>
      </c>
      <c r="S43" s="79">
        <f t="shared" si="4"/>
        <v>0.875</v>
      </c>
      <c r="T43" s="80">
        <f t="shared" si="2"/>
        <v>20000</v>
      </c>
      <c r="U43" s="81"/>
      <c r="V43" s="81"/>
      <c r="W43" s="81">
        <v>1200</v>
      </c>
      <c r="X43" s="81">
        <v>1250</v>
      </c>
      <c r="Y43" s="81">
        <v>1134</v>
      </c>
      <c r="Z43" s="81">
        <v>1694</v>
      </c>
      <c r="AA43" s="81">
        <v>2500</v>
      </c>
      <c r="AB43" s="80">
        <v>15000</v>
      </c>
      <c r="AC43" s="80" t="s">
        <v>223</v>
      </c>
      <c r="AD43" s="80">
        <f>Q43/100*69</f>
        <v>13800</v>
      </c>
      <c r="AE43" s="86">
        <v>5000</v>
      </c>
      <c r="AF43" s="80" t="s">
        <v>223</v>
      </c>
      <c r="AG43" s="81" t="s">
        <v>319</v>
      </c>
      <c r="AH43" s="86">
        <v>6</v>
      </c>
      <c r="AI43" s="86">
        <v>200</v>
      </c>
      <c r="AJ43" s="80" t="s">
        <v>223</v>
      </c>
      <c r="AK43" s="80">
        <v>0</v>
      </c>
      <c r="AL43" s="86">
        <v>0</v>
      </c>
      <c r="AM43" s="86">
        <v>20</v>
      </c>
      <c r="AN43" s="80" t="s">
        <v>223</v>
      </c>
      <c r="AO43" s="74">
        <v>50</v>
      </c>
      <c r="AP43" s="86">
        <v>2000</v>
      </c>
      <c r="AQ43" s="80" t="s">
        <v>223</v>
      </c>
      <c r="AR43" s="74">
        <v>10</v>
      </c>
      <c r="AS43" s="86">
        <v>500</v>
      </c>
      <c r="AT43" s="80" t="s">
        <v>223</v>
      </c>
      <c r="AU43" s="80" t="s">
        <v>221</v>
      </c>
      <c r="AV43" s="80" t="s">
        <v>221</v>
      </c>
      <c r="AW43" s="86" t="s">
        <v>75</v>
      </c>
      <c r="AX43" s="80" t="s">
        <v>6</v>
      </c>
      <c r="AY43" s="88">
        <v>500</v>
      </c>
      <c r="AZ43" s="74" t="s">
        <v>320</v>
      </c>
      <c r="BA43" s="92" t="s">
        <v>75</v>
      </c>
      <c r="BB43" s="92" t="s">
        <v>321</v>
      </c>
      <c r="BC43" s="71" t="s">
        <v>221</v>
      </c>
      <c r="BD43" s="74">
        <v>10</v>
      </c>
      <c r="BE43" s="74">
        <v>8</v>
      </c>
      <c r="BF43" s="74">
        <v>7</v>
      </c>
      <c r="BG43" s="111">
        <v>3000</v>
      </c>
      <c r="BH43" s="74" t="s">
        <v>223</v>
      </c>
      <c r="BI43" s="96">
        <f>BG43/7*50</f>
        <v>21428.571428571428</v>
      </c>
      <c r="BJ43" s="111">
        <v>1189.5</v>
      </c>
      <c r="BK43" s="111">
        <v>2400</v>
      </c>
      <c r="BL43" s="74">
        <v>2</v>
      </c>
      <c r="BM43" s="74"/>
      <c r="BN43" s="74" t="s">
        <v>223</v>
      </c>
      <c r="BO43" s="74">
        <v>3</v>
      </c>
      <c r="BP43" s="74">
        <v>1.5</v>
      </c>
      <c r="BQ43" s="104" t="s">
        <v>75</v>
      </c>
      <c r="BR43" s="104" t="s">
        <v>75</v>
      </c>
      <c r="BS43" s="71">
        <f>AD43/100*(44)*12.91</f>
        <v>78389.52</v>
      </c>
      <c r="BT43" s="71">
        <f>AD43/100*(56)*25.82</f>
        <v>199536.96</v>
      </c>
      <c r="BU43" s="71">
        <v>1337.5</v>
      </c>
      <c r="BV43" s="96">
        <f t="shared" si="0"/>
        <v>279263.98</v>
      </c>
      <c r="BW43" s="101">
        <f>BM43*(1-0.25)*(1-0.26)*(1-0.25)*1.2</f>
        <v>0</v>
      </c>
      <c r="BX43" s="101">
        <f>SUBTOTAL(9,BM43,BW43)</f>
        <v>0</v>
      </c>
    </row>
    <row r="44" spans="1:80" customFormat="1" ht="30" x14ac:dyDescent="0.25">
      <c r="A44" s="113" t="s">
        <v>97</v>
      </c>
      <c r="B44" s="5">
        <v>2053</v>
      </c>
      <c r="C44" s="8" t="s">
        <v>4</v>
      </c>
      <c r="D44" s="8" t="s">
        <v>5</v>
      </c>
      <c r="E44" s="8" t="s">
        <v>68</v>
      </c>
      <c r="F44" s="8"/>
      <c r="G44" s="77" t="s">
        <v>6</v>
      </c>
      <c r="H44" s="77" t="s">
        <v>6</v>
      </c>
      <c r="I44" s="8" t="s">
        <v>7</v>
      </c>
      <c r="J44" s="74" t="s">
        <v>7</v>
      </c>
      <c r="K44" s="74" t="s">
        <v>526</v>
      </c>
      <c r="L44" s="90" t="s">
        <v>599</v>
      </c>
      <c r="M44" s="81">
        <v>748</v>
      </c>
      <c r="N44" s="74" t="s">
        <v>6</v>
      </c>
      <c r="O44" s="74" t="s">
        <v>221</v>
      </c>
      <c r="P44" s="74" t="s">
        <v>221</v>
      </c>
      <c r="Q44" s="81">
        <v>5579</v>
      </c>
      <c r="R44" s="74" t="s">
        <v>222</v>
      </c>
      <c r="S44" s="79">
        <f t="shared" si="4"/>
        <v>-0.77863416382864314</v>
      </c>
      <c r="T44" s="80">
        <f t="shared" si="2"/>
        <v>5579</v>
      </c>
      <c r="U44" s="81">
        <v>8140</v>
      </c>
      <c r="V44" s="81">
        <v>12851</v>
      </c>
      <c r="W44" s="81">
        <v>10651</v>
      </c>
      <c r="X44" s="81"/>
      <c r="Y44" s="81">
        <v>8134</v>
      </c>
      <c r="Z44" s="81">
        <v>7486</v>
      </c>
      <c r="AA44" s="81">
        <v>9923</v>
      </c>
      <c r="AB44" s="80">
        <v>2298</v>
      </c>
      <c r="AC44" s="80" t="s">
        <v>222</v>
      </c>
      <c r="AD44" s="80">
        <f>Q44/100*75</f>
        <v>4184.25</v>
      </c>
      <c r="AE44" s="86">
        <v>3228</v>
      </c>
      <c r="AF44" s="80" t="s">
        <v>222</v>
      </c>
      <c r="AG44" s="81" t="s">
        <v>263</v>
      </c>
      <c r="AH44" s="86">
        <v>42</v>
      </c>
      <c r="AI44" s="86">
        <v>1368</v>
      </c>
      <c r="AJ44" s="80" t="s">
        <v>222</v>
      </c>
      <c r="AK44" s="80">
        <v>5</v>
      </c>
      <c r="AL44" s="86">
        <v>347</v>
      </c>
      <c r="AM44" s="86">
        <v>33</v>
      </c>
      <c r="AN44" s="80" t="s">
        <v>222</v>
      </c>
      <c r="AO44" s="74">
        <v>85</v>
      </c>
      <c r="AP44" s="86">
        <v>3407</v>
      </c>
      <c r="AQ44" s="80" t="s">
        <v>222</v>
      </c>
      <c r="AR44" s="74">
        <v>12</v>
      </c>
      <c r="AS44" s="86">
        <v>974</v>
      </c>
      <c r="AT44" s="80" t="s">
        <v>222</v>
      </c>
      <c r="AU44" s="80" t="s">
        <v>6</v>
      </c>
      <c r="AV44" s="80" t="s">
        <v>6</v>
      </c>
      <c r="AW44" s="86" t="s">
        <v>323</v>
      </c>
      <c r="AX44" s="80" t="s">
        <v>6</v>
      </c>
      <c r="AY44" s="88">
        <v>3893</v>
      </c>
      <c r="AZ44" s="74" t="s">
        <v>320</v>
      </c>
      <c r="BA44" s="92" t="s">
        <v>324</v>
      </c>
      <c r="BB44" s="92" t="s">
        <v>325</v>
      </c>
      <c r="BC44" s="71" t="s">
        <v>221</v>
      </c>
      <c r="BD44" s="74">
        <v>21</v>
      </c>
      <c r="BE44" s="74">
        <v>30</v>
      </c>
      <c r="BF44" s="74">
        <v>33</v>
      </c>
      <c r="BG44" s="111" t="s">
        <v>323</v>
      </c>
      <c r="BH44" s="74" t="s">
        <v>223</v>
      </c>
      <c r="BI44" s="96"/>
      <c r="BJ44" s="111">
        <v>2418</v>
      </c>
      <c r="BK44" s="111">
        <v>2250</v>
      </c>
      <c r="BL44" s="74">
        <v>1</v>
      </c>
      <c r="BM44" s="74">
        <v>1</v>
      </c>
      <c r="BN44" s="74" t="s">
        <v>222</v>
      </c>
      <c r="BO44" s="74">
        <v>1</v>
      </c>
      <c r="BP44" s="74" t="s">
        <v>351</v>
      </c>
      <c r="BQ44" s="104" t="s">
        <v>75</v>
      </c>
      <c r="BR44" s="104" t="s">
        <v>75</v>
      </c>
      <c r="BS44" s="71">
        <f>AD44/100*(47)*12.91</f>
        <v>25388.773725000003</v>
      </c>
      <c r="BT44" s="71">
        <f>AD44/100*(53)*25.82</f>
        <v>57259.787550000001</v>
      </c>
      <c r="BU44" s="71">
        <v>11375.323050000003</v>
      </c>
      <c r="BV44" s="96">
        <f t="shared" si="0"/>
        <v>94023.884325000006</v>
      </c>
      <c r="BW44" s="101">
        <f>BM44*(1-0.25)*(1-0.21)*(1-0.25)*1.2</f>
        <v>0.53325</v>
      </c>
      <c r="BX44" s="101">
        <f>SUBTOTAL(9,BM44,BW44)</f>
        <v>1.53325</v>
      </c>
    </row>
    <row r="45" spans="1:80" customFormat="1" ht="60" x14ac:dyDescent="0.25">
      <c r="A45" s="18" t="s">
        <v>72</v>
      </c>
      <c r="B45" s="5">
        <v>580</v>
      </c>
      <c r="C45" s="8" t="s">
        <v>4</v>
      </c>
      <c r="D45" s="8" t="s">
        <v>5</v>
      </c>
      <c r="E45" s="8" t="s">
        <v>68</v>
      </c>
      <c r="F45" s="8" t="s">
        <v>71</v>
      </c>
      <c r="G45" s="77"/>
      <c r="H45" s="77" t="s">
        <v>6</v>
      </c>
      <c r="I45" s="8" t="s">
        <v>8</v>
      </c>
      <c r="J45" s="74"/>
      <c r="K45" s="74"/>
      <c r="L45" s="90"/>
      <c r="M45" s="81"/>
      <c r="N45" s="74"/>
      <c r="O45" s="74"/>
      <c r="P45" s="74"/>
      <c r="Q45" s="81"/>
      <c r="R45" s="72"/>
      <c r="S45" s="79"/>
      <c r="T45" s="80"/>
      <c r="U45" s="81"/>
      <c r="V45" s="81"/>
      <c r="W45" s="81"/>
      <c r="X45" s="81"/>
      <c r="Y45" s="81"/>
      <c r="Z45" s="81"/>
      <c r="AA45" s="81"/>
      <c r="AB45" s="80"/>
      <c r="AC45" s="80"/>
      <c r="AD45" s="80"/>
      <c r="AE45" s="86"/>
      <c r="AF45" s="80"/>
      <c r="AG45" s="81"/>
      <c r="AH45" s="86"/>
      <c r="AI45" s="86"/>
      <c r="AJ45" s="80"/>
      <c r="AK45" s="80"/>
      <c r="AL45" s="86"/>
      <c r="AM45" s="86"/>
      <c r="AN45" s="80"/>
      <c r="AO45" s="74"/>
      <c r="AP45" s="86"/>
      <c r="AQ45" s="80"/>
      <c r="AR45" s="74"/>
      <c r="AS45" s="86"/>
      <c r="AT45" s="80"/>
      <c r="AU45" s="80" t="s">
        <v>221</v>
      </c>
      <c r="AV45" s="80"/>
      <c r="AW45" s="86"/>
      <c r="AX45" s="80"/>
      <c r="AY45" s="88"/>
      <c r="AZ45" s="74" t="s">
        <v>221</v>
      </c>
      <c r="BA45" s="92" t="s">
        <v>266</v>
      </c>
      <c r="BB45" s="92" t="s">
        <v>266</v>
      </c>
      <c r="BC45" s="71"/>
      <c r="BD45" s="72"/>
      <c r="BE45" s="72"/>
      <c r="BF45" s="72"/>
      <c r="BG45" s="111"/>
      <c r="BH45" s="72"/>
      <c r="BI45" s="96"/>
      <c r="BJ45" s="111"/>
      <c r="BK45" s="111"/>
      <c r="BL45" s="72"/>
      <c r="BM45" s="72"/>
      <c r="BN45" s="72"/>
      <c r="BO45" s="74"/>
      <c r="BP45" s="74"/>
      <c r="BQ45" s="104"/>
      <c r="BR45" s="104"/>
      <c r="BS45" s="71"/>
      <c r="BT45" s="71"/>
      <c r="BU45" s="71"/>
      <c r="BV45" s="96">
        <f t="shared" si="0"/>
        <v>0</v>
      </c>
      <c r="BW45" s="101"/>
      <c r="BX45" s="101"/>
    </row>
    <row r="46" spans="1:80" customFormat="1" ht="60" x14ac:dyDescent="0.25">
      <c r="A46" s="110" t="s">
        <v>139</v>
      </c>
      <c r="B46" s="5">
        <v>666</v>
      </c>
      <c r="C46" s="8" t="s">
        <v>4</v>
      </c>
      <c r="D46" s="8" t="s">
        <v>5</v>
      </c>
      <c r="E46" s="76" t="s">
        <v>137</v>
      </c>
      <c r="F46" s="94"/>
      <c r="G46" s="77" t="s">
        <v>6</v>
      </c>
      <c r="H46" s="77" t="s">
        <v>6</v>
      </c>
      <c r="I46" s="8" t="s">
        <v>7</v>
      </c>
      <c r="J46" s="74" t="s">
        <v>7</v>
      </c>
      <c r="K46" s="74" t="s">
        <v>526</v>
      </c>
      <c r="L46" s="90" t="s">
        <v>599</v>
      </c>
      <c r="M46" s="81">
        <v>640</v>
      </c>
      <c r="N46" s="74" t="s">
        <v>6</v>
      </c>
      <c r="O46" s="74" t="s">
        <v>221</v>
      </c>
      <c r="P46" s="74" t="s">
        <v>221</v>
      </c>
      <c r="Q46" s="81">
        <v>723</v>
      </c>
      <c r="R46" s="74" t="s">
        <v>222</v>
      </c>
      <c r="S46" s="79">
        <f>(Q46-AA46)/Q46</f>
        <v>-0.14799446749654219</v>
      </c>
      <c r="T46" s="80">
        <f>AVERAGE(Q46:Q46)</f>
        <v>723</v>
      </c>
      <c r="U46" s="81">
        <v>1070</v>
      </c>
      <c r="V46" s="81">
        <v>920</v>
      </c>
      <c r="W46" s="81">
        <v>758</v>
      </c>
      <c r="X46" s="81">
        <v>835</v>
      </c>
      <c r="Y46" s="81">
        <v>915</v>
      </c>
      <c r="Z46" s="81">
        <v>623</v>
      </c>
      <c r="AA46" s="81">
        <v>830</v>
      </c>
      <c r="AB46" s="80">
        <v>668</v>
      </c>
      <c r="AC46" s="80" t="s">
        <v>222</v>
      </c>
      <c r="AD46" s="80">
        <f>Q46/100*75</f>
        <v>542.25</v>
      </c>
      <c r="AE46" s="86">
        <v>55</v>
      </c>
      <c r="AF46" s="80" t="s">
        <v>222</v>
      </c>
      <c r="AG46" s="81" t="s">
        <v>326</v>
      </c>
      <c r="AH46" s="86">
        <v>2</v>
      </c>
      <c r="AI46" s="86">
        <v>40</v>
      </c>
      <c r="AJ46" s="80" t="s">
        <v>222</v>
      </c>
      <c r="AK46" s="80">
        <v>1</v>
      </c>
      <c r="AL46" s="86">
        <v>22</v>
      </c>
      <c r="AM46" s="86">
        <v>3</v>
      </c>
      <c r="AN46" s="80" t="s">
        <v>222</v>
      </c>
      <c r="AO46" s="74">
        <v>2</v>
      </c>
      <c r="AP46" s="86">
        <v>7</v>
      </c>
      <c r="AQ46" s="80" t="s">
        <v>222</v>
      </c>
      <c r="AR46" s="74">
        <v>2</v>
      </c>
      <c r="AS46" s="86">
        <v>145</v>
      </c>
      <c r="AT46" s="80" t="s">
        <v>223</v>
      </c>
      <c r="AU46" s="80" t="s">
        <v>6</v>
      </c>
      <c r="AV46" s="80" t="s">
        <v>6</v>
      </c>
      <c r="AW46" s="86" t="s">
        <v>327</v>
      </c>
      <c r="AX46" s="80" t="s">
        <v>6</v>
      </c>
      <c r="AY46" s="88" t="s">
        <v>328</v>
      </c>
      <c r="AZ46" s="74" t="s">
        <v>221</v>
      </c>
      <c r="BA46" s="92" t="s">
        <v>266</v>
      </c>
      <c r="BB46" s="92" t="s">
        <v>266</v>
      </c>
      <c r="BC46" s="71" t="s">
        <v>221</v>
      </c>
      <c r="BD46" s="74">
        <v>18</v>
      </c>
      <c r="BE46" s="74">
        <v>25</v>
      </c>
      <c r="BF46" s="74">
        <v>25</v>
      </c>
      <c r="BG46" s="111">
        <v>4112</v>
      </c>
      <c r="BH46" s="74" t="s">
        <v>223</v>
      </c>
      <c r="BI46" s="96">
        <f>BG46/7*50</f>
        <v>29371.428571428572</v>
      </c>
      <c r="BJ46" s="111">
        <v>1250</v>
      </c>
      <c r="BK46" s="111">
        <v>7425</v>
      </c>
      <c r="BL46" s="74">
        <v>0</v>
      </c>
      <c r="BM46" s="74">
        <v>0</v>
      </c>
      <c r="BN46" s="74" t="s">
        <v>222</v>
      </c>
      <c r="BO46" s="74">
        <v>0</v>
      </c>
      <c r="BP46" s="74">
        <v>0</v>
      </c>
      <c r="BQ46" s="104" t="s">
        <v>75</v>
      </c>
      <c r="BR46" s="104" t="s">
        <v>329</v>
      </c>
      <c r="BS46" s="71">
        <f>AD46/100*(47)*14.08</f>
        <v>3588.3936000000003</v>
      </c>
      <c r="BT46" s="71">
        <f>AD46/100*(53)*28.16</f>
        <v>8092.9728000000014</v>
      </c>
      <c r="BU46" s="71">
        <v>4142.3788000000004</v>
      </c>
      <c r="BV46" s="96">
        <f t="shared" si="0"/>
        <v>15823.745200000003</v>
      </c>
      <c r="BW46" s="101">
        <f>BM46*(1-0.25)*(1-0.21)*(1-0.25)*1.2</f>
        <v>0</v>
      </c>
      <c r="BX46" s="101">
        <f>SUBTOTAL(9,BM46,BW46)</f>
        <v>0</v>
      </c>
    </row>
    <row r="47" spans="1:80" customFormat="1" ht="30" x14ac:dyDescent="0.25">
      <c r="A47" s="18" t="s">
        <v>162</v>
      </c>
      <c r="B47" s="5">
        <v>1754</v>
      </c>
      <c r="C47" s="8" t="s">
        <v>4</v>
      </c>
      <c r="D47" s="8" t="s">
        <v>5</v>
      </c>
      <c r="E47" s="95" t="s">
        <v>137</v>
      </c>
      <c r="F47" s="78"/>
      <c r="G47" s="77"/>
      <c r="H47" s="77"/>
      <c r="I47" s="8" t="s">
        <v>53</v>
      </c>
      <c r="J47" s="74"/>
      <c r="K47" s="74"/>
      <c r="L47" s="90"/>
      <c r="M47" s="81"/>
      <c r="N47" s="74"/>
      <c r="O47" s="74"/>
      <c r="P47" s="74"/>
      <c r="Q47" s="81"/>
      <c r="R47" s="72"/>
      <c r="S47" s="79"/>
      <c r="T47" s="80"/>
      <c r="U47" s="81"/>
      <c r="V47" s="81"/>
      <c r="W47" s="81"/>
      <c r="X47" s="81"/>
      <c r="Y47" s="81"/>
      <c r="Z47" s="81"/>
      <c r="AA47" s="81"/>
      <c r="AB47" s="80"/>
      <c r="AC47" s="80"/>
      <c r="AD47" s="80"/>
      <c r="AE47" s="86"/>
      <c r="AF47" s="80"/>
      <c r="AG47" s="81"/>
      <c r="AH47" s="86"/>
      <c r="AI47" s="86"/>
      <c r="AJ47" s="80"/>
      <c r="AK47" s="80"/>
      <c r="AL47" s="86"/>
      <c r="AM47" s="86"/>
      <c r="AN47" s="80"/>
      <c r="AO47" s="74"/>
      <c r="AP47" s="86"/>
      <c r="AQ47" s="80"/>
      <c r="AR47" s="74"/>
      <c r="AS47" s="86"/>
      <c r="AT47" s="80"/>
      <c r="AU47" s="80" t="s">
        <v>6</v>
      </c>
      <c r="AV47" s="80"/>
      <c r="AW47" s="86"/>
      <c r="AX47" s="80"/>
      <c r="AY47" s="88"/>
      <c r="AZ47" s="74" t="s">
        <v>214</v>
      </c>
      <c r="BA47" s="92">
        <v>10.4</v>
      </c>
      <c r="BB47" s="92">
        <v>5</v>
      </c>
      <c r="BC47" s="71"/>
      <c r="BD47" s="72"/>
      <c r="BE47" s="72"/>
      <c r="BF47" s="72"/>
      <c r="BG47" s="111"/>
      <c r="BH47" s="72"/>
      <c r="BI47" s="96"/>
      <c r="BJ47" s="111"/>
      <c r="BK47" s="111"/>
      <c r="BL47" s="72"/>
      <c r="BM47" s="72"/>
      <c r="BN47" s="72"/>
      <c r="BO47" s="74"/>
      <c r="BP47" s="74"/>
      <c r="BQ47" s="104"/>
      <c r="BR47" s="104"/>
      <c r="BS47" s="71"/>
      <c r="BT47" s="71"/>
      <c r="BU47" s="71"/>
      <c r="BV47" s="96">
        <f t="shared" si="0"/>
        <v>0</v>
      </c>
      <c r="BW47" s="101"/>
      <c r="BX47" s="101"/>
    </row>
    <row r="48" spans="1:80" customFormat="1" ht="120" x14ac:dyDescent="0.25">
      <c r="A48" s="110" t="s">
        <v>203</v>
      </c>
      <c r="B48" s="5">
        <v>2105</v>
      </c>
      <c r="C48" s="8" t="s">
        <v>4</v>
      </c>
      <c r="D48" s="8" t="s">
        <v>5</v>
      </c>
      <c r="E48" s="76" t="s">
        <v>174</v>
      </c>
      <c r="F48" s="76"/>
      <c r="G48" s="77" t="s">
        <v>6</v>
      </c>
      <c r="H48" s="77" t="s">
        <v>6</v>
      </c>
      <c r="I48" s="8" t="s">
        <v>7</v>
      </c>
      <c r="J48" s="74" t="s">
        <v>7</v>
      </c>
      <c r="K48" s="74" t="s">
        <v>526</v>
      </c>
      <c r="L48" s="90" t="s">
        <v>600</v>
      </c>
      <c r="M48" s="81">
        <v>331</v>
      </c>
      <c r="N48" s="74" t="s">
        <v>6</v>
      </c>
      <c r="O48" s="74" t="s">
        <v>6</v>
      </c>
      <c r="P48" s="74" t="s">
        <v>221</v>
      </c>
      <c r="Q48" s="81">
        <v>4439</v>
      </c>
      <c r="R48" s="74" t="s">
        <v>222</v>
      </c>
      <c r="S48" s="79">
        <f>(Q48-AA48)/Q48</f>
        <v>2.9285875197116468E-3</v>
      </c>
      <c r="T48" s="80">
        <f>AVERAGE(Q48:Q48)</f>
        <v>4439</v>
      </c>
      <c r="U48" s="81">
        <v>3854</v>
      </c>
      <c r="V48" s="81">
        <v>4209</v>
      </c>
      <c r="W48" s="81">
        <v>3769</v>
      </c>
      <c r="X48" s="81">
        <v>3838</v>
      </c>
      <c r="Y48" s="81">
        <v>5552</v>
      </c>
      <c r="Z48" s="81">
        <v>7241</v>
      </c>
      <c r="AA48" s="81">
        <v>4426</v>
      </c>
      <c r="AB48" s="80">
        <v>3484</v>
      </c>
      <c r="AC48" s="80" t="s">
        <v>222</v>
      </c>
      <c r="AD48" s="80">
        <f>Q48/100*75</f>
        <v>3329.25</v>
      </c>
      <c r="AE48" s="86">
        <v>955</v>
      </c>
      <c r="AF48" s="80" t="s">
        <v>222</v>
      </c>
      <c r="AG48" s="81" t="s">
        <v>330</v>
      </c>
      <c r="AH48" s="86">
        <v>0</v>
      </c>
      <c r="AI48" s="86">
        <v>0</v>
      </c>
      <c r="AJ48" s="80" t="s">
        <v>222</v>
      </c>
      <c r="AK48" s="80">
        <v>0</v>
      </c>
      <c r="AL48" s="86">
        <v>0</v>
      </c>
      <c r="AM48" s="86">
        <v>0</v>
      </c>
      <c r="AN48" s="80" t="s">
        <v>222</v>
      </c>
      <c r="AO48" s="74">
        <v>4</v>
      </c>
      <c r="AP48" s="86">
        <v>12</v>
      </c>
      <c r="AQ48" s="80" t="s">
        <v>222</v>
      </c>
      <c r="AR48" s="74">
        <v>19</v>
      </c>
      <c r="AS48" s="86">
        <v>600</v>
      </c>
      <c r="AT48" s="80" t="s">
        <v>223</v>
      </c>
      <c r="AU48" s="80" t="s">
        <v>6</v>
      </c>
      <c r="AV48" s="80" t="s">
        <v>6</v>
      </c>
      <c r="AW48" s="86">
        <v>5257</v>
      </c>
      <c r="AX48" s="80" t="s">
        <v>6</v>
      </c>
      <c r="AY48" s="88" t="s">
        <v>331</v>
      </c>
      <c r="AZ48" s="74" t="s">
        <v>6</v>
      </c>
      <c r="BA48" s="92">
        <v>2</v>
      </c>
      <c r="BB48" s="92">
        <v>0.5</v>
      </c>
      <c r="BC48" s="71" t="s">
        <v>221</v>
      </c>
      <c r="BD48" s="74">
        <v>30</v>
      </c>
      <c r="BE48" s="74">
        <v>24</v>
      </c>
      <c r="BF48" s="74">
        <v>30</v>
      </c>
      <c r="BG48" s="111">
        <v>5841</v>
      </c>
      <c r="BH48" s="74" t="s">
        <v>222</v>
      </c>
      <c r="BI48" s="96">
        <f>BG48/7*50</f>
        <v>41721.428571428572</v>
      </c>
      <c r="BJ48" s="111"/>
      <c r="BK48" s="111">
        <v>5792</v>
      </c>
      <c r="BL48" s="74">
        <v>0</v>
      </c>
      <c r="BM48" s="74">
        <v>0</v>
      </c>
      <c r="BN48" s="74" t="s">
        <v>222</v>
      </c>
      <c r="BO48" s="74">
        <v>0</v>
      </c>
      <c r="BP48" s="74">
        <v>0</v>
      </c>
      <c r="BQ48" s="104" t="s">
        <v>75</v>
      </c>
      <c r="BR48" s="104" t="s">
        <v>332</v>
      </c>
      <c r="BS48" s="71">
        <f>AD48/100*(47)*12.86</f>
        <v>20122.652849999999</v>
      </c>
      <c r="BT48" s="71">
        <f>AD48/100*(53)*25.73</f>
        <v>45400.649324999998</v>
      </c>
      <c r="BU48" s="71">
        <v>15536.78875</v>
      </c>
      <c r="BV48" s="96">
        <f t="shared" si="0"/>
        <v>81060.090924999997</v>
      </c>
      <c r="BW48" s="101">
        <f>BM48*(1-0.25)*(1-0.21)*(1-0.25)*1.2</f>
        <v>0</v>
      </c>
      <c r="BX48" s="101">
        <f>SUBTOTAL(9,BM48,BW48)</f>
        <v>0</v>
      </c>
    </row>
    <row r="49" spans="1:83" customFormat="1" ht="120" x14ac:dyDescent="0.25">
      <c r="A49" s="113" t="s">
        <v>28</v>
      </c>
      <c r="B49" s="5">
        <v>578</v>
      </c>
      <c r="C49" s="8" t="s">
        <v>4</v>
      </c>
      <c r="D49" s="8" t="s">
        <v>5</v>
      </c>
      <c r="E49" s="95" t="s">
        <v>25</v>
      </c>
      <c r="F49" s="78"/>
      <c r="G49" s="77" t="s">
        <v>6</v>
      </c>
      <c r="H49" s="77" t="s">
        <v>6</v>
      </c>
      <c r="I49" s="8" t="s">
        <v>27</v>
      </c>
      <c r="J49" s="74" t="s">
        <v>27</v>
      </c>
      <c r="K49" s="74" t="s">
        <v>529</v>
      </c>
      <c r="L49" s="90" t="s">
        <v>599</v>
      </c>
      <c r="M49" s="81">
        <v>2080</v>
      </c>
      <c r="N49" s="74" t="s">
        <v>6</v>
      </c>
      <c r="O49" s="74" t="s">
        <v>221</v>
      </c>
      <c r="P49" s="74" t="s">
        <v>6</v>
      </c>
      <c r="Q49" s="81">
        <v>410726</v>
      </c>
      <c r="R49" s="74" t="s">
        <v>222</v>
      </c>
      <c r="S49" s="79">
        <f>(Q49-AA49)/Q49</f>
        <v>-6.4911887730506462E-2</v>
      </c>
      <c r="T49" s="80">
        <f>AVERAGE(Q49:Q49)</f>
        <v>410726</v>
      </c>
      <c r="U49" s="81"/>
      <c r="V49" s="81"/>
      <c r="W49" s="81"/>
      <c r="X49" s="81"/>
      <c r="Y49" s="81">
        <v>402037</v>
      </c>
      <c r="Z49" s="81">
        <v>321559</v>
      </c>
      <c r="AA49" s="81">
        <v>437387</v>
      </c>
      <c r="AB49" s="80">
        <v>346340</v>
      </c>
      <c r="AC49" s="80" t="s">
        <v>222</v>
      </c>
      <c r="AD49" s="80">
        <f>Q49/100*68</f>
        <v>279293.68</v>
      </c>
      <c r="AE49" s="86">
        <v>64386</v>
      </c>
      <c r="AF49" s="80" t="s">
        <v>222</v>
      </c>
      <c r="AG49" s="81" t="s">
        <v>449</v>
      </c>
      <c r="AH49" s="86">
        <v>633</v>
      </c>
      <c r="AI49" s="86">
        <v>13450</v>
      </c>
      <c r="AJ49" s="80" t="s">
        <v>222</v>
      </c>
      <c r="AK49" s="80">
        <v>23</v>
      </c>
      <c r="AL49" s="86">
        <v>384</v>
      </c>
      <c r="AM49" s="86">
        <v>317</v>
      </c>
      <c r="AN49" s="80" t="s">
        <v>222</v>
      </c>
      <c r="AO49" s="74">
        <v>405</v>
      </c>
      <c r="AP49" s="86">
        <v>17726</v>
      </c>
      <c r="AQ49" s="80" t="s">
        <v>222</v>
      </c>
      <c r="AR49" s="74">
        <v>103</v>
      </c>
      <c r="AS49" s="86">
        <v>6887</v>
      </c>
      <c r="AT49" s="80" t="s">
        <v>222</v>
      </c>
      <c r="AU49" s="80" t="s">
        <v>6</v>
      </c>
      <c r="AV49" s="80" t="s">
        <v>6</v>
      </c>
      <c r="AW49" s="86">
        <v>317673</v>
      </c>
      <c r="AX49" s="80" t="s">
        <v>6</v>
      </c>
      <c r="AY49" s="88">
        <v>54592</v>
      </c>
      <c r="AZ49" s="74" t="s">
        <v>221</v>
      </c>
      <c r="BA49" s="92" t="s">
        <v>301</v>
      </c>
      <c r="BB49" s="92" t="s">
        <v>301</v>
      </c>
      <c r="BC49" s="71" t="s">
        <v>6</v>
      </c>
      <c r="BD49" s="74">
        <v>72</v>
      </c>
      <c r="BE49" s="74">
        <v>67</v>
      </c>
      <c r="BF49" s="74">
        <v>64</v>
      </c>
      <c r="BG49" s="111">
        <v>7200</v>
      </c>
      <c r="BH49" s="74" t="s">
        <v>222</v>
      </c>
      <c r="BI49" s="96">
        <f>BG49/7*50</f>
        <v>51428.571428571435</v>
      </c>
      <c r="BJ49" s="111">
        <v>6702</v>
      </c>
      <c r="BK49" s="111">
        <v>6402</v>
      </c>
      <c r="BL49" s="74">
        <v>153</v>
      </c>
      <c r="BM49" s="74">
        <v>122</v>
      </c>
      <c r="BN49" s="74" t="s">
        <v>222</v>
      </c>
      <c r="BO49" s="74">
        <v>189</v>
      </c>
      <c r="BP49" s="74">
        <v>165</v>
      </c>
      <c r="BQ49" s="104" t="s">
        <v>450</v>
      </c>
      <c r="BR49" s="104" t="s">
        <v>451</v>
      </c>
      <c r="BS49" s="71">
        <f>AD49/100*(31)*17.99</f>
        <v>1557592.9239919998</v>
      </c>
      <c r="BT49" s="71">
        <f>AD49/100*(69)*35.98</f>
        <v>6933800.7584159998</v>
      </c>
      <c r="BU49" s="71">
        <v>2663115</v>
      </c>
      <c r="BV49" s="96">
        <f t="shared" si="0"/>
        <v>11154508.682407999</v>
      </c>
      <c r="BW49" s="101">
        <f>BM49*(1-0.25)*(1-0.25)*(1-0.375)*1.2</f>
        <v>51.46875</v>
      </c>
      <c r="BX49" s="101">
        <f>SUBTOTAL(9,BM49,BW49)</f>
        <v>173.46875</v>
      </c>
    </row>
    <row r="50" spans="1:83" customFormat="1" ht="45" x14ac:dyDescent="0.25">
      <c r="A50" s="113" t="s">
        <v>64</v>
      </c>
      <c r="B50" s="5" t="s">
        <v>65</v>
      </c>
      <c r="C50" s="8" t="s">
        <v>63</v>
      </c>
      <c r="D50" s="8" t="s">
        <v>5</v>
      </c>
      <c r="E50" s="95" t="s">
        <v>25</v>
      </c>
      <c r="F50" s="78"/>
      <c r="G50" s="77"/>
      <c r="H50" s="77"/>
      <c r="I50" s="8" t="s">
        <v>7</v>
      </c>
      <c r="J50" s="74"/>
      <c r="K50" s="74"/>
      <c r="L50" s="90"/>
      <c r="M50" s="81"/>
      <c r="N50" s="74"/>
      <c r="O50" s="74"/>
      <c r="P50" s="74"/>
      <c r="Q50" s="81"/>
      <c r="R50" s="72"/>
      <c r="S50" s="79"/>
      <c r="T50" s="80"/>
      <c r="U50" s="81"/>
      <c r="V50" s="81"/>
      <c r="W50" s="81"/>
      <c r="X50" s="81"/>
      <c r="Y50" s="81"/>
      <c r="Z50" s="81"/>
      <c r="AA50" s="81"/>
      <c r="AB50" s="80"/>
      <c r="AC50" s="80"/>
      <c r="AD50" s="80"/>
      <c r="AE50" s="86"/>
      <c r="AF50" s="80"/>
      <c r="AG50" s="81"/>
      <c r="AH50" s="86"/>
      <c r="AI50" s="86"/>
      <c r="AJ50" s="80"/>
      <c r="AK50" s="80"/>
      <c r="AL50" s="86"/>
      <c r="AM50" s="86"/>
      <c r="AN50" s="80"/>
      <c r="AO50" s="74"/>
      <c r="AP50" s="86"/>
      <c r="AQ50" s="80"/>
      <c r="AR50" s="74"/>
      <c r="AS50" s="86"/>
      <c r="AT50" s="80"/>
      <c r="AU50" s="80" t="s">
        <v>6</v>
      </c>
      <c r="AV50" s="80"/>
      <c r="AW50" s="86"/>
      <c r="AX50" s="80"/>
      <c r="AY50" s="88"/>
      <c r="AZ50" s="74" t="s">
        <v>214</v>
      </c>
      <c r="BA50" s="92">
        <v>6</v>
      </c>
      <c r="BB50" s="92">
        <v>4</v>
      </c>
      <c r="BC50" s="71"/>
      <c r="BD50" s="72"/>
      <c r="BE50" s="72"/>
      <c r="BF50" s="72"/>
      <c r="BG50" s="111"/>
      <c r="BH50" s="72"/>
      <c r="BI50" s="96"/>
      <c r="BJ50" s="111"/>
      <c r="BK50" s="111"/>
      <c r="BL50" s="72"/>
      <c r="BM50" s="72"/>
      <c r="BN50" s="72"/>
      <c r="BO50" s="74"/>
      <c r="BP50" s="74"/>
      <c r="BQ50" s="104"/>
      <c r="BR50" s="104"/>
      <c r="BS50" s="71"/>
      <c r="BT50" s="71"/>
      <c r="BU50" s="71"/>
      <c r="BV50" s="96">
        <f t="shared" si="0"/>
        <v>0</v>
      </c>
      <c r="BW50" s="101"/>
      <c r="BX50" s="101"/>
    </row>
    <row r="51" spans="1:83" customFormat="1" ht="75" x14ac:dyDescent="0.25">
      <c r="A51" s="110" t="s">
        <v>80</v>
      </c>
      <c r="B51" s="5">
        <v>663</v>
      </c>
      <c r="C51" s="8" t="s">
        <v>4</v>
      </c>
      <c r="D51" s="8" t="s">
        <v>5</v>
      </c>
      <c r="E51" s="8" t="s">
        <v>68</v>
      </c>
      <c r="F51" s="8"/>
      <c r="G51" s="77" t="s">
        <v>6</v>
      </c>
      <c r="H51" s="77" t="s">
        <v>6</v>
      </c>
      <c r="I51" s="8" t="s">
        <v>7</v>
      </c>
      <c r="J51" s="74" t="s">
        <v>7</v>
      </c>
      <c r="K51" s="74" t="s">
        <v>527</v>
      </c>
      <c r="L51" s="90" t="s">
        <v>600</v>
      </c>
      <c r="M51" s="81">
        <v>570</v>
      </c>
      <c r="N51" s="74" t="s">
        <v>6</v>
      </c>
      <c r="O51" s="74" t="s">
        <v>221</v>
      </c>
      <c r="P51" s="74" t="s">
        <v>221</v>
      </c>
      <c r="Q51" s="81">
        <v>11000</v>
      </c>
      <c r="R51" s="74" t="s">
        <v>223</v>
      </c>
      <c r="S51" s="79">
        <f>(Q51-AA51)/Q51</f>
        <v>8.0909090909090903E-2</v>
      </c>
      <c r="T51" s="80">
        <f>AVERAGE(Q51:Q51)</f>
        <v>11000</v>
      </c>
      <c r="U51" s="81">
        <v>3990</v>
      </c>
      <c r="V51" s="81">
        <v>5600</v>
      </c>
      <c r="W51" s="81">
        <v>6255</v>
      </c>
      <c r="X51" s="81">
        <v>10795</v>
      </c>
      <c r="Y51" s="81">
        <v>10000</v>
      </c>
      <c r="Z51" s="81">
        <v>9000</v>
      </c>
      <c r="AA51" s="81">
        <v>10110</v>
      </c>
      <c r="AB51" s="80">
        <v>10600</v>
      </c>
      <c r="AC51" s="80" t="s">
        <v>223</v>
      </c>
      <c r="AD51" s="80">
        <f>Q51/100*69</f>
        <v>7590</v>
      </c>
      <c r="AE51" s="86">
        <v>400</v>
      </c>
      <c r="AF51" s="80" t="s">
        <v>223</v>
      </c>
      <c r="AG51" s="81" t="s">
        <v>295</v>
      </c>
      <c r="AH51" s="86">
        <v>11</v>
      </c>
      <c r="AI51" s="86">
        <v>431</v>
      </c>
      <c r="AJ51" s="80" t="s">
        <v>222</v>
      </c>
      <c r="AK51" s="80">
        <v>7</v>
      </c>
      <c r="AL51" s="86">
        <v>100</v>
      </c>
      <c r="AM51" s="86">
        <v>9</v>
      </c>
      <c r="AN51" s="80" t="s">
        <v>222</v>
      </c>
      <c r="AO51" s="91">
        <v>10</v>
      </c>
      <c r="AP51" s="86">
        <v>100</v>
      </c>
      <c r="AQ51" s="80" t="s">
        <v>223</v>
      </c>
      <c r="AR51" s="91">
        <v>5</v>
      </c>
      <c r="AS51" s="86">
        <v>200</v>
      </c>
      <c r="AT51" s="80" t="s">
        <v>223</v>
      </c>
      <c r="AU51" s="80" t="s">
        <v>6</v>
      </c>
      <c r="AV51" s="80" t="s">
        <v>6</v>
      </c>
      <c r="AW51" s="86">
        <v>31872</v>
      </c>
      <c r="AX51" s="80" t="s">
        <v>6</v>
      </c>
      <c r="AY51" s="88">
        <v>3000</v>
      </c>
      <c r="AZ51" s="74" t="s">
        <v>221</v>
      </c>
      <c r="BA51" s="92" t="s">
        <v>266</v>
      </c>
      <c r="BB51" s="92" t="s">
        <v>266</v>
      </c>
      <c r="BC51" s="71" t="s">
        <v>221</v>
      </c>
      <c r="BD51" s="74">
        <v>80</v>
      </c>
      <c r="BE51" s="74">
        <v>100</v>
      </c>
      <c r="BF51" s="74">
        <v>120</v>
      </c>
      <c r="BG51" s="111">
        <v>10600</v>
      </c>
      <c r="BH51" s="74" t="s">
        <v>223</v>
      </c>
      <c r="BI51" s="96">
        <f>BG51/7*50</f>
        <v>75714.28571428571</v>
      </c>
      <c r="BJ51" s="111">
        <v>10000</v>
      </c>
      <c r="BK51" s="111">
        <v>10000</v>
      </c>
      <c r="BL51" s="74">
        <v>2</v>
      </c>
      <c r="BM51" s="74">
        <v>0.2</v>
      </c>
      <c r="BN51" s="74" t="s">
        <v>222</v>
      </c>
      <c r="BO51" s="74">
        <v>2</v>
      </c>
      <c r="BP51" s="74">
        <v>0</v>
      </c>
      <c r="BQ51" s="107" t="s">
        <v>452</v>
      </c>
      <c r="BR51" s="107" t="s">
        <v>75</v>
      </c>
      <c r="BS51" s="71">
        <f>AD51/100*(44)*12.91</f>
        <v>43114.236000000004</v>
      </c>
      <c r="BT51" s="71">
        <f>AD51/100*(56)*25.82</f>
        <v>109745.32800000001</v>
      </c>
      <c r="BU51" s="71"/>
      <c r="BV51" s="96">
        <f t="shared" si="0"/>
        <v>152859.56400000001</v>
      </c>
      <c r="BW51" s="101">
        <f>BM51*(1-0.25)*(1-0.26)*(1-0.25)*1.2</f>
        <v>9.9900000000000017E-2</v>
      </c>
      <c r="BX51" s="101">
        <f>SUBTOTAL(9,BM51,BW51)</f>
        <v>0.29990000000000006</v>
      </c>
    </row>
    <row r="52" spans="1:83" customFormat="1" ht="409.5" x14ac:dyDescent="0.25">
      <c r="A52" s="110" t="s">
        <v>181</v>
      </c>
      <c r="B52" s="5">
        <v>687</v>
      </c>
      <c r="C52" s="8" t="s">
        <v>4</v>
      </c>
      <c r="D52" s="8" t="s">
        <v>5</v>
      </c>
      <c r="E52" s="76" t="s">
        <v>174</v>
      </c>
      <c r="F52" s="76"/>
      <c r="G52" s="77" t="s">
        <v>6</v>
      </c>
      <c r="H52" s="77" t="s">
        <v>6</v>
      </c>
      <c r="I52" s="8" t="s">
        <v>7</v>
      </c>
      <c r="J52" s="74" t="s">
        <v>7</v>
      </c>
      <c r="K52" s="74" t="s">
        <v>527</v>
      </c>
      <c r="L52" s="90" t="s">
        <v>599</v>
      </c>
      <c r="M52" s="81">
        <v>2400</v>
      </c>
      <c r="N52" s="74" t="s">
        <v>6</v>
      </c>
      <c r="O52" s="74" t="s">
        <v>221</v>
      </c>
      <c r="P52" s="74" t="s">
        <v>221</v>
      </c>
      <c r="Q52" s="81">
        <v>24264</v>
      </c>
      <c r="R52" s="74" t="s">
        <v>222</v>
      </c>
      <c r="S52" s="79">
        <f>(Q52-AA52)/Q52</f>
        <v>3.4825255522584898E-2</v>
      </c>
      <c r="T52" s="80">
        <f>AVERAGE(Q52:Q52)</f>
        <v>24264</v>
      </c>
      <c r="U52" s="81">
        <v>18209</v>
      </c>
      <c r="V52" s="81">
        <v>19023</v>
      </c>
      <c r="W52" s="81">
        <v>18468</v>
      </c>
      <c r="X52" s="81">
        <v>18990</v>
      </c>
      <c r="Y52" s="81">
        <v>18028</v>
      </c>
      <c r="Z52" s="81">
        <v>19854</v>
      </c>
      <c r="AA52" s="81">
        <v>23419</v>
      </c>
      <c r="AB52" s="80">
        <v>22685</v>
      </c>
      <c r="AC52" s="80" t="s">
        <v>222</v>
      </c>
      <c r="AD52" s="80">
        <f>Q52/100*69</f>
        <v>16742.16</v>
      </c>
      <c r="AE52" s="86">
        <v>1579</v>
      </c>
      <c r="AF52" s="80" t="s">
        <v>222</v>
      </c>
      <c r="AG52" s="81" t="s">
        <v>75</v>
      </c>
      <c r="AH52" s="86">
        <v>29</v>
      </c>
      <c r="AI52" s="86">
        <v>985</v>
      </c>
      <c r="AJ52" s="80" t="s">
        <v>222</v>
      </c>
      <c r="AK52" s="80">
        <v>13</v>
      </c>
      <c r="AL52" s="86">
        <v>692</v>
      </c>
      <c r="AM52" s="86">
        <v>18</v>
      </c>
      <c r="AN52" s="80" t="s">
        <v>222</v>
      </c>
      <c r="AO52" s="74">
        <v>66</v>
      </c>
      <c r="AP52" s="86">
        <v>830</v>
      </c>
      <c r="AQ52" s="80" t="s">
        <v>222</v>
      </c>
      <c r="AR52" s="74">
        <v>5</v>
      </c>
      <c r="AS52" s="86">
        <v>423</v>
      </c>
      <c r="AT52" s="80" t="s">
        <v>222</v>
      </c>
      <c r="AU52" s="80" t="s">
        <v>6</v>
      </c>
      <c r="AV52" s="80" t="s">
        <v>6</v>
      </c>
      <c r="AW52" s="86">
        <v>62572</v>
      </c>
      <c r="AX52" s="80" t="s">
        <v>6</v>
      </c>
      <c r="AY52" s="88">
        <v>453</v>
      </c>
      <c r="AZ52" s="74" t="s">
        <v>6</v>
      </c>
      <c r="BA52" s="92">
        <v>6.5</v>
      </c>
      <c r="BB52" s="92">
        <v>2</v>
      </c>
      <c r="BC52" s="71" t="s">
        <v>221</v>
      </c>
      <c r="BD52" s="74">
        <v>256</v>
      </c>
      <c r="BE52" s="74">
        <v>284</v>
      </c>
      <c r="BF52" s="74">
        <v>268</v>
      </c>
      <c r="BG52" s="111">
        <v>11875</v>
      </c>
      <c r="BH52" s="74" t="s">
        <v>222</v>
      </c>
      <c r="BI52" s="96">
        <f>BG52/7*50</f>
        <v>84821.428571428565</v>
      </c>
      <c r="BJ52" s="111">
        <v>12497</v>
      </c>
      <c r="BK52" s="111">
        <v>12743</v>
      </c>
      <c r="BL52" s="74">
        <v>17</v>
      </c>
      <c r="BM52" s="74">
        <v>10.199999999999999</v>
      </c>
      <c r="BN52" s="74" t="s">
        <v>222</v>
      </c>
      <c r="BO52" s="74">
        <v>17</v>
      </c>
      <c r="BP52" s="74">
        <v>10.199999999999999</v>
      </c>
      <c r="BQ52" s="104" t="s">
        <v>333</v>
      </c>
      <c r="BR52" s="104" t="s">
        <v>334</v>
      </c>
      <c r="BS52" s="71">
        <f>AD52/100*(44)*12.86</f>
        <v>94733.838143999994</v>
      </c>
      <c r="BT52" s="71">
        <f>AD52/100*(56)*25.73</f>
        <v>241234.435008</v>
      </c>
      <c r="BU52" s="71">
        <v>422914.82500000001</v>
      </c>
      <c r="BV52" s="96">
        <f t="shared" si="0"/>
        <v>758883.09815199999</v>
      </c>
      <c r="BW52" s="101">
        <f>BM52*(1-0.25)*(1-0.26)*(1-0.25)*1.2</f>
        <v>5.0948999999999991</v>
      </c>
      <c r="BX52" s="101">
        <f>SUBTOTAL(9,BM52,BW52)</f>
        <v>15.294899999999998</v>
      </c>
    </row>
    <row r="53" spans="1:83" customFormat="1" ht="60" x14ac:dyDescent="0.25">
      <c r="A53" s="18" t="s">
        <v>135</v>
      </c>
      <c r="B53" s="5">
        <v>2344</v>
      </c>
      <c r="C53" s="8" t="s">
        <v>4</v>
      </c>
      <c r="D53" s="8" t="s">
        <v>5</v>
      </c>
      <c r="E53" s="8" t="s">
        <v>109</v>
      </c>
      <c r="F53" s="8"/>
      <c r="G53" s="77" t="s">
        <v>6</v>
      </c>
      <c r="H53" s="77" t="s">
        <v>6</v>
      </c>
      <c r="I53" s="8" t="s">
        <v>7</v>
      </c>
      <c r="J53" s="74" t="s">
        <v>7</v>
      </c>
      <c r="K53" s="74" t="s">
        <v>526</v>
      </c>
      <c r="L53" s="90" t="s">
        <v>602</v>
      </c>
      <c r="M53" s="81">
        <v>1336</v>
      </c>
      <c r="N53" s="75" t="s">
        <v>221</v>
      </c>
      <c r="O53" s="75" t="s">
        <v>221</v>
      </c>
      <c r="P53" s="75" t="s">
        <v>221</v>
      </c>
      <c r="Q53" s="81">
        <v>116</v>
      </c>
      <c r="R53" s="74" t="s">
        <v>222</v>
      </c>
      <c r="S53" s="79">
        <f>(Q53-AA53)/Q53</f>
        <v>-1.3275862068965518</v>
      </c>
      <c r="T53" s="80">
        <f>AVERAGE(Q53:Q53)</f>
        <v>116</v>
      </c>
      <c r="U53" s="81"/>
      <c r="V53" s="81"/>
      <c r="W53" s="81"/>
      <c r="X53" s="81"/>
      <c r="Y53" s="81"/>
      <c r="Z53" s="81"/>
      <c r="AA53" s="81">
        <v>270</v>
      </c>
      <c r="AB53" s="80" t="s">
        <v>264</v>
      </c>
      <c r="AC53" s="80" t="s">
        <v>223</v>
      </c>
      <c r="AD53" s="80">
        <f>Q53/100*75</f>
        <v>87</v>
      </c>
      <c r="AE53" s="86" t="s">
        <v>264</v>
      </c>
      <c r="AF53" s="80" t="s">
        <v>223</v>
      </c>
      <c r="AG53" s="81" t="s">
        <v>335</v>
      </c>
      <c r="AH53" s="86">
        <v>0</v>
      </c>
      <c r="AI53" s="86">
        <v>0</v>
      </c>
      <c r="AJ53" s="80" t="s">
        <v>222</v>
      </c>
      <c r="AK53" s="80">
        <v>11</v>
      </c>
      <c r="AL53" s="86">
        <v>450</v>
      </c>
      <c r="AM53" s="86">
        <v>15</v>
      </c>
      <c r="AN53" s="80" t="s">
        <v>223</v>
      </c>
      <c r="AO53" s="75">
        <v>17</v>
      </c>
      <c r="AP53" s="86">
        <v>116</v>
      </c>
      <c r="AQ53" s="80" t="s">
        <v>222</v>
      </c>
      <c r="AR53" s="75">
        <v>19</v>
      </c>
      <c r="AS53" s="86">
        <v>4166</v>
      </c>
      <c r="AT53" s="80" t="s">
        <v>222</v>
      </c>
      <c r="AU53" s="80" t="s">
        <v>6</v>
      </c>
      <c r="AV53" s="80" t="s">
        <v>6</v>
      </c>
      <c r="AW53" s="86">
        <v>3195</v>
      </c>
      <c r="AX53" s="80" t="s">
        <v>6</v>
      </c>
      <c r="AY53" s="88" t="s">
        <v>336</v>
      </c>
      <c r="AZ53" s="75" t="s">
        <v>221</v>
      </c>
      <c r="BA53" s="92" t="s">
        <v>266</v>
      </c>
      <c r="BB53" s="92" t="s">
        <v>266</v>
      </c>
      <c r="BC53" s="71" t="s">
        <v>221</v>
      </c>
      <c r="BD53" s="74">
        <v>22</v>
      </c>
      <c r="BE53" s="74"/>
      <c r="BF53" s="74">
        <v>22</v>
      </c>
      <c r="BG53" s="111">
        <v>1881</v>
      </c>
      <c r="BH53" s="74" t="s">
        <v>222</v>
      </c>
      <c r="BI53" s="96">
        <f>BG53/7*50</f>
        <v>13435.714285714286</v>
      </c>
      <c r="BJ53" s="111"/>
      <c r="BK53" s="111">
        <v>1900</v>
      </c>
      <c r="BL53" s="74">
        <v>4</v>
      </c>
      <c r="BM53" s="74">
        <v>3.4</v>
      </c>
      <c r="BN53" s="74" t="s">
        <v>222</v>
      </c>
      <c r="BO53" s="74">
        <v>5</v>
      </c>
      <c r="BP53" s="74">
        <v>4.2</v>
      </c>
      <c r="BQ53" s="106" t="s">
        <v>337</v>
      </c>
      <c r="BR53" s="106" t="s">
        <v>338</v>
      </c>
      <c r="BS53" s="71">
        <f>AD53/100*(47)*11.29</f>
        <v>461.6481</v>
      </c>
      <c r="BT53" s="71">
        <f>AD53/100*(53)*22.59</f>
        <v>1041.6249</v>
      </c>
      <c r="BU53" s="71">
        <v>205992.5</v>
      </c>
      <c r="BV53" s="96">
        <f t="shared" si="0"/>
        <v>207495.77299999999</v>
      </c>
      <c r="BW53" s="102">
        <f>BM53*(1-0.25)*(1-0.21)*(1-0.25)*1.2</f>
        <v>1.8130499999999998</v>
      </c>
      <c r="BX53" s="102">
        <f>SUBTOTAL(9,BM53,BW53)</f>
        <v>5.21305</v>
      </c>
    </row>
    <row r="54" spans="1:83" customFormat="1" ht="75" x14ac:dyDescent="0.25">
      <c r="A54" s="18" t="s">
        <v>147</v>
      </c>
      <c r="B54" s="5">
        <v>742</v>
      </c>
      <c r="C54" s="8" t="s">
        <v>4</v>
      </c>
      <c r="D54" s="8" t="s">
        <v>5</v>
      </c>
      <c r="E54" s="76" t="s">
        <v>137</v>
      </c>
      <c r="F54" s="94" t="s">
        <v>141</v>
      </c>
      <c r="G54" s="77" t="s">
        <v>214</v>
      </c>
      <c r="H54" s="77" t="s">
        <v>6</v>
      </c>
      <c r="I54" s="8" t="s">
        <v>9</v>
      </c>
      <c r="J54" s="75" t="s">
        <v>9</v>
      </c>
      <c r="K54" s="75" t="s">
        <v>528</v>
      </c>
      <c r="L54" s="122" t="s">
        <v>600</v>
      </c>
      <c r="M54" s="81" t="s">
        <v>560</v>
      </c>
      <c r="N54" s="74" t="s">
        <v>221</v>
      </c>
      <c r="O54" s="74" t="s">
        <v>221</v>
      </c>
      <c r="P54" s="74" t="s">
        <v>221</v>
      </c>
      <c r="Q54" s="81">
        <v>61197</v>
      </c>
      <c r="R54" s="74" t="s">
        <v>75</v>
      </c>
      <c r="S54" s="79">
        <f>(Q54-AA54)/Q54</f>
        <v>-6.7486968315440293E-2</v>
      </c>
      <c r="T54" s="80">
        <f>AVERAGE(Q54:Q54)</f>
        <v>61197</v>
      </c>
      <c r="U54" s="81"/>
      <c r="V54" s="81"/>
      <c r="W54" s="81">
        <v>69115</v>
      </c>
      <c r="X54" s="81">
        <v>68469</v>
      </c>
      <c r="Y54" s="81">
        <v>61882</v>
      </c>
      <c r="Z54" s="81">
        <v>65884</v>
      </c>
      <c r="AA54" s="81">
        <v>65327</v>
      </c>
      <c r="AB54" s="80">
        <v>37971</v>
      </c>
      <c r="AC54" s="80" t="s">
        <v>75</v>
      </c>
      <c r="AD54" s="80">
        <f>Q54/100*68</f>
        <v>41613.96</v>
      </c>
      <c r="AE54" s="86">
        <v>23226</v>
      </c>
      <c r="AF54" s="80" t="s">
        <v>75</v>
      </c>
      <c r="AG54" s="81" t="s">
        <v>221</v>
      </c>
      <c r="AH54" s="86">
        <v>223</v>
      </c>
      <c r="AI54" s="86">
        <v>10538</v>
      </c>
      <c r="AJ54" s="80" t="s">
        <v>223</v>
      </c>
      <c r="AK54" s="80" t="s">
        <v>75</v>
      </c>
      <c r="AL54" s="86" t="s">
        <v>75</v>
      </c>
      <c r="AM54" s="86" t="s">
        <v>75</v>
      </c>
      <c r="AN54" s="80" t="s">
        <v>222</v>
      </c>
      <c r="AO54" s="74">
        <v>252</v>
      </c>
      <c r="AP54" s="86">
        <v>32880</v>
      </c>
      <c r="AQ54" s="80" t="s">
        <v>75</v>
      </c>
      <c r="AR54" s="74">
        <v>1</v>
      </c>
      <c r="AS54" s="86">
        <v>535</v>
      </c>
      <c r="AT54" s="80" t="s">
        <v>75</v>
      </c>
      <c r="AU54" s="80" t="s">
        <v>6</v>
      </c>
      <c r="AV54" s="80" t="s">
        <v>6</v>
      </c>
      <c r="AW54" s="86" t="s">
        <v>75</v>
      </c>
      <c r="AX54" s="80" t="s">
        <v>6</v>
      </c>
      <c r="AY54" s="88" t="s">
        <v>561</v>
      </c>
      <c r="AZ54" s="74" t="s">
        <v>6</v>
      </c>
      <c r="BA54" s="92">
        <v>11.95</v>
      </c>
      <c r="BB54" s="92">
        <v>9.5500000000000007</v>
      </c>
      <c r="BC54" s="71" t="s">
        <v>75</v>
      </c>
      <c r="BD54" s="74" t="s">
        <v>75</v>
      </c>
      <c r="BE54" s="74"/>
      <c r="BF54" s="74" t="s">
        <v>611</v>
      </c>
      <c r="BG54" s="111" t="s">
        <v>75</v>
      </c>
      <c r="BH54" s="74" t="s">
        <v>75</v>
      </c>
      <c r="BI54" s="96"/>
      <c r="BJ54" s="111"/>
      <c r="BK54" s="111" t="s">
        <v>611</v>
      </c>
      <c r="BL54" s="74" t="s">
        <v>75</v>
      </c>
      <c r="BM54" s="74" t="s">
        <v>75</v>
      </c>
      <c r="BN54" s="74" t="s">
        <v>75</v>
      </c>
      <c r="BO54" s="75" t="s">
        <v>611</v>
      </c>
      <c r="BP54" s="75" t="s">
        <v>611</v>
      </c>
      <c r="BQ54" s="104" t="s">
        <v>75</v>
      </c>
      <c r="BR54" s="104" t="s">
        <v>75</v>
      </c>
      <c r="BS54" s="71">
        <f>AD54/100*(31)*14.08</f>
        <v>181636.612608</v>
      </c>
      <c r="BT54" s="71">
        <f>AD54/100*(69)*28.16</f>
        <v>808575.88838399993</v>
      </c>
      <c r="BU54" s="71"/>
      <c r="BV54" s="96">
        <f t="shared" si="0"/>
        <v>990212.50099199987</v>
      </c>
      <c r="BW54" s="101"/>
      <c r="BX54" s="101">
        <f>SUBTOTAL(9,BM54,BW54)</f>
        <v>0</v>
      </c>
    </row>
    <row r="55" spans="1:83" customFormat="1" ht="75" x14ac:dyDescent="0.25">
      <c r="A55" s="110" t="s">
        <v>190</v>
      </c>
      <c r="B55" s="5">
        <v>811</v>
      </c>
      <c r="C55" s="8" t="s">
        <v>4</v>
      </c>
      <c r="D55" s="8" t="s">
        <v>5</v>
      </c>
      <c r="E55" s="76" t="s">
        <v>174</v>
      </c>
      <c r="F55" s="76"/>
      <c r="G55" s="77" t="s">
        <v>214</v>
      </c>
      <c r="H55" s="77"/>
      <c r="I55" s="8" t="s">
        <v>7</v>
      </c>
      <c r="J55" s="74" t="s">
        <v>7</v>
      </c>
      <c r="K55" s="74" t="s">
        <v>526</v>
      </c>
      <c r="L55" s="90" t="s">
        <v>600</v>
      </c>
      <c r="M55" s="81" t="s">
        <v>571</v>
      </c>
      <c r="N55" s="74" t="s">
        <v>6</v>
      </c>
      <c r="O55" s="74" t="s">
        <v>221</v>
      </c>
      <c r="P55" s="74" t="s">
        <v>221</v>
      </c>
      <c r="Q55" s="81">
        <v>1266</v>
      </c>
      <c r="R55" s="74" t="s">
        <v>222</v>
      </c>
      <c r="S55" s="79"/>
      <c r="T55" s="80">
        <f>AVERAGE(Q55:Q55)</f>
        <v>1266</v>
      </c>
      <c r="U55" s="81">
        <v>1690</v>
      </c>
      <c r="V55" s="81">
        <v>1670</v>
      </c>
      <c r="W55" s="81">
        <v>1833</v>
      </c>
      <c r="X55" s="81">
        <v>2476</v>
      </c>
      <c r="Y55" s="81"/>
      <c r="Z55" s="81">
        <v>1520</v>
      </c>
      <c r="AA55" s="81"/>
      <c r="AB55" s="80" t="s">
        <v>75</v>
      </c>
      <c r="AC55" s="80" t="s">
        <v>75</v>
      </c>
      <c r="AD55" s="80">
        <f>Q55/100*75</f>
        <v>949.5</v>
      </c>
      <c r="AE55" s="86" t="s">
        <v>75</v>
      </c>
      <c r="AF55" s="80" t="s">
        <v>75</v>
      </c>
      <c r="AG55" s="81" t="s">
        <v>572</v>
      </c>
      <c r="AH55" s="86">
        <v>4</v>
      </c>
      <c r="AI55" s="86">
        <v>80</v>
      </c>
      <c r="AJ55" s="80" t="s">
        <v>223</v>
      </c>
      <c r="AK55" s="80">
        <v>0</v>
      </c>
      <c r="AL55" s="86">
        <v>0</v>
      </c>
      <c r="AM55" s="86">
        <v>3</v>
      </c>
      <c r="AN55" s="80" t="s">
        <v>222</v>
      </c>
      <c r="AO55" s="74">
        <v>1</v>
      </c>
      <c r="AP55" s="86">
        <v>79</v>
      </c>
      <c r="AQ55" s="80" t="s">
        <v>222</v>
      </c>
      <c r="AR55" s="74">
        <v>13</v>
      </c>
      <c r="AS55" s="86">
        <v>837</v>
      </c>
      <c r="AT55" s="80" t="s">
        <v>222</v>
      </c>
      <c r="AU55" s="80" t="s">
        <v>6</v>
      </c>
      <c r="AV55" s="80" t="s">
        <v>6</v>
      </c>
      <c r="AW55" s="86" t="s">
        <v>287</v>
      </c>
      <c r="AX55" s="80" t="s">
        <v>6</v>
      </c>
      <c r="AY55" s="88" t="s">
        <v>287</v>
      </c>
      <c r="AZ55" s="74" t="s">
        <v>221</v>
      </c>
      <c r="BA55" s="92" t="s">
        <v>266</v>
      </c>
      <c r="BB55" s="92" t="s">
        <v>266</v>
      </c>
      <c r="BC55" s="71" t="s">
        <v>221</v>
      </c>
      <c r="BD55" s="74">
        <v>30</v>
      </c>
      <c r="BE55" s="74">
        <v>25</v>
      </c>
      <c r="BF55" s="74"/>
      <c r="BG55" s="111">
        <v>2000</v>
      </c>
      <c r="BH55" s="74" t="s">
        <v>222</v>
      </c>
      <c r="BI55" s="96">
        <f>BG55/7*50</f>
        <v>14285.714285714286</v>
      </c>
      <c r="BJ55" s="111">
        <v>2500</v>
      </c>
      <c r="BK55" s="111"/>
      <c r="BL55" s="74">
        <v>0</v>
      </c>
      <c r="BM55" s="74">
        <v>0</v>
      </c>
      <c r="BN55" s="74" t="s">
        <v>222</v>
      </c>
      <c r="BO55" s="74"/>
      <c r="BP55" s="74"/>
      <c r="BQ55" s="104" t="s">
        <v>75</v>
      </c>
      <c r="BR55" s="104" t="s">
        <v>75</v>
      </c>
      <c r="BS55" s="71">
        <f>AD55/100*(47)*12.86</f>
        <v>5738.9678999999996</v>
      </c>
      <c r="BT55" s="71">
        <f>AD55/100*(53)*25.73</f>
        <v>12948.23655</v>
      </c>
      <c r="BU55" s="71">
        <v>4693.5</v>
      </c>
      <c r="BV55" s="96">
        <f t="shared" si="0"/>
        <v>23380.704449999997</v>
      </c>
      <c r="BW55" s="101">
        <f>BM55*(1-0.25)*(1-0.21)*(1-0.25)*1.2</f>
        <v>0</v>
      </c>
      <c r="BX55" s="101">
        <f>SUBTOTAL(9,BM55,BW55)</f>
        <v>0</v>
      </c>
      <c r="BY55" s="28"/>
      <c r="BZ55" s="28"/>
    </row>
    <row r="56" spans="1:83" customFormat="1" ht="60" customHeight="1" x14ac:dyDescent="0.25">
      <c r="A56" s="18" t="s">
        <v>86</v>
      </c>
      <c r="B56" s="5">
        <v>688</v>
      </c>
      <c r="C56" s="8" t="s">
        <v>30</v>
      </c>
      <c r="D56" s="8" t="s">
        <v>5</v>
      </c>
      <c r="E56" s="8" t="s">
        <v>68</v>
      </c>
      <c r="F56" s="8"/>
      <c r="G56" s="77"/>
      <c r="H56" s="77"/>
      <c r="I56" s="8" t="s">
        <v>7</v>
      </c>
      <c r="J56" s="74"/>
      <c r="K56" s="74"/>
      <c r="L56" s="90"/>
      <c r="M56" s="81"/>
      <c r="N56" s="74"/>
      <c r="O56" s="74"/>
      <c r="P56" s="74"/>
      <c r="Q56" s="81"/>
      <c r="R56" s="72"/>
      <c r="S56" s="79"/>
      <c r="T56" s="80"/>
      <c r="U56" s="81"/>
      <c r="V56" s="81"/>
      <c r="W56" s="81"/>
      <c r="X56" s="81"/>
      <c r="Y56" s="81">
        <v>12147</v>
      </c>
      <c r="Z56" s="81">
        <v>15462</v>
      </c>
      <c r="AA56" s="81"/>
      <c r="AB56" s="80"/>
      <c r="AC56" s="80"/>
      <c r="AD56" s="80"/>
      <c r="AE56" s="86"/>
      <c r="AF56" s="80"/>
      <c r="AG56" s="81"/>
      <c r="AH56" s="86"/>
      <c r="AI56" s="86"/>
      <c r="AJ56" s="80"/>
      <c r="AK56" s="80"/>
      <c r="AL56" s="86"/>
      <c r="AM56" s="86"/>
      <c r="AN56" s="80"/>
      <c r="AO56" s="74"/>
      <c r="AP56" s="86"/>
      <c r="AQ56" s="80"/>
      <c r="AR56" s="74"/>
      <c r="AS56" s="86"/>
      <c r="AT56" s="80"/>
      <c r="AU56" s="80" t="s">
        <v>6</v>
      </c>
      <c r="AV56" s="80"/>
      <c r="AW56" s="86"/>
      <c r="AX56" s="80"/>
      <c r="AY56" s="88"/>
      <c r="AZ56" s="74" t="s">
        <v>6</v>
      </c>
      <c r="BA56" s="92">
        <v>2</v>
      </c>
      <c r="BB56" s="92">
        <v>1</v>
      </c>
      <c r="BC56" s="71"/>
      <c r="BD56" s="72"/>
      <c r="BE56" s="72">
        <v>14</v>
      </c>
      <c r="BF56" s="72"/>
      <c r="BG56" s="111"/>
      <c r="BH56" s="72"/>
      <c r="BI56" s="96"/>
      <c r="BJ56" s="111">
        <v>2500</v>
      </c>
      <c r="BK56" s="111"/>
      <c r="BL56" s="72"/>
      <c r="BM56" s="72"/>
      <c r="BN56" s="72"/>
      <c r="BO56" s="74"/>
      <c r="BP56" s="74"/>
      <c r="BQ56" s="104"/>
      <c r="BR56" s="104"/>
      <c r="BS56" s="71"/>
      <c r="BT56" s="71"/>
      <c r="BU56" s="71"/>
      <c r="BV56" s="96">
        <f t="shared" si="0"/>
        <v>0</v>
      </c>
      <c r="BW56" s="101"/>
      <c r="BX56" s="101"/>
    </row>
    <row r="57" spans="1:83" customFormat="1" ht="30" x14ac:dyDescent="0.25">
      <c r="A57" s="110" t="s">
        <v>188</v>
      </c>
      <c r="B57" s="5">
        <v>809</v>
      </c>
      <c r="C57" s="8" t="s">
        <v>4</v>
      </c>
      <c r="D57" s="8" t="s">
        <v>5</v>
      </c>
      <c r="E57" s="76" t="s">
        <v>174</v>
      </c>
      <c r="F57" s="76"/>
      <c r="G57" s="77" t="s">
        <v>6</v>
      </c>
      <c r="H57" s="77" t="s">
        <v>6</v>
      </c>
      <c r="I57" s="8" t="s">
        <v>7</v>
      </c>
      <c r="J57" s="74" t="s">
        <v>7</v>
      </c>
      <c r="K57" s="74" t="s">
        <v>526</v>
      </c>
      <c r="L57" s="90" t="s">
        <v>599</v>
      </c>
      <c r="M57" s="81">
        <v>457</v>
      </c>
      <c r="N57" s="74" t="s">
        <v>6</v>
      </c>
      <c r="O57" s="74" t="s">
        <v>221</v>
      </c>
      <c r="P57" s="74" t="s">
        <v>221</v>
      </c>
      <c r="Q57" s="81">
        <v>1096</v>
      </c>
      <c r="R57" s="74" t="s">
        <v>222</v>
      </c>
      <c r="S57" s="79">
        <f>(Q57-AA57)/Q57</f>
        <v>-0.25091240875912407</v>
      </c>
      <c r="T57" s="80">
        <f>AVERAGE(Q57:Q57)</f>
        <v>1096</v>
      </c>
      <c r="U57" s="81">
        <v>1378</v>
      </c>
      <c r="V57" s="81">
        <v>1723</v>
      </c>
      <c r="W57" s="81">
        <v>1137</v>
      </c>
      <c r="X57" s="81">
        <v>1353</v>
      </c>
      <c r="Y57" s="81">
        <v>1091</v>
      </c>
      <c r="Z57" s="81">
        <v>1204</v>
      </c>
      <c r="AA57" s="81">
        <v>1371</v>
      </c>
      <c r="AB57" s="80">
        <v>1090</v>
      </c>
      <c r="AC57" s="80" t="s">
        <v>223</v>
      </c>
      <c r="AD57" s="80">
        <f>Q57/100*75</f>
        <v>822.00000000000011</v>
      </c>
      <c r="AE57" s="86">
        <v>6</v>
      </c>
      <c r="AF57" s="80" t="s">
        <v>223</v>
      </c>
      <c r="AG57" s="81" t="s">
        <v>282</v>
      </c>
      <c r="AH57" s="86">
        <v>0</v>
      </c>
      <c r="AI57" s="86">
        <v>0</v>
      </c>
      <c r="AJ57" s="80" t="s">
        <v>222</v>
      </c>
      <c r="AK57" s="80">
        <v>2</v>
      </c>
      <c r="AL57" s="86">
        <v>37</v>
      </c>
      <c r="AM57" s="86">
        <v>2</v>
      </c>
      <c r="AN57" s="80" t="s">
        <v>222</v>
      </c>
      <c r="AO57" s="74">
        <v>8</v>
      </c>
      <c r="AP57" s="86">
        <v>129</v>
      </c>
      <c r="AQ57" s="80" t="s">
        <v>222</v>
      </c>
      <c r="AR57" s="74" t="s">
        <v>75</v>
      </c>
      <c r="AS57" s="86" t="s">
        <v>75</v>
      </c>
      <c r="AT57" s="80" t="s">
        <v>75</v>
      </c>
      <c r="AU57" s="80" t="s">
        <v>6</v>
      </c>
      <c r="AV57" s="80" t="s">
        <v>6</v>
      </c>
      <c r="AW57" s="86" t="s">
        <v>264</v>
      </c>
      <c r="AX57" s="80" t="s">
        <v>221</v>
      </c>
      <c r="AY57" s="88" t="s">
        <v>75</v>
      </c>
      <c r="AZ57" s="74" t="s">
        <v>221</v>
      </c>
      <c r="BA57" s="92" t="s">
        <v>266</v>
      </c>
      <c r="BB57" s="92" t="s">
        <v>266</v>
      </c>
      <c r="BC57" s="71" t="s">
        <v>221</v>
      </c>
      <c r="BD57" s="74">
        <v>18</v>
      </c>
      <c r="BE57" s="74">
        <v>22</v>
      </c>
      <c r="BF57" s="74">
        <v>17</v>
      </c>
      <c r="BG57" s="111">
        <v>4575</v>
      </c>
      <c r="BH57" s="74" t="s">
        <v>223</v>
      </c>
      <c r="BI57" s="96">
        <f>BG57/7*50</f>
        <v>32678.571428571428</v>
      </c>
      <c r="BJ57" s="111">
        <v>4538</v>
      </c>
      <c r="BK57" s="111">
        <v>6500</v>
      </c>
      <c r="BL57" s="74">
        <v>0</v>
      </c>
      <c r="BM57" s="74">
        <v>0</v>
      </c>
      <c r="BN57" s="74" t="s">
        <v>222</v>
      </c>
      <c r="BO57" s="74">
        <v>0</v>
      </c>
      <c r="BP57" s="74">
        <v>0</v>
      </c>
      <c r="BQ57" s="104" t="s">
        <v>75</v>
      </c>
      <c r="BR57" s="104" t="s">
        <v>75</v>
      </c>
      <c r="BS57" s="71">
        <f>AD57/100*(47)*12.86</f>
        <v>4968.3324000000002</v>
      </c>
      <c r="BT57" s="71">
        <f>AD57/100*(53)*25.73</f>
        <v>11209.531800000001</v>
      </c>
      <c r="BU57" s="71">
        <v>4819.75515</v>
      </c>
      <c r="BV57" s="96">
        <f t="shared" si="0"/>
        <v>20997.619350000001</v>
      </c>
      <c r="BW57" s="101">
        <f>BM57*(1-0.25)*(1-0.21)*(1-0.25)*1.2</f>
        <v>0</v>
      </c>
      <c r="BX57" s="101">
        <f>SUBTOTAL(9,BM57,BW57)</f>
        <v>0</v>
      </c>
    </row>
    <row r="58" spans="1:83" customFormat="1" ht="45" x14ac:dyDescent="0.25">
      <c r="A58" s="18" t="s">
        <v>125</v>
      </c>
      <c r="B58" s="5">
        <v>807</v>
      </c>
      <c r="C58" s="8" t="s">
        <v>4</v>
      </c>
      <c r="D58" s="8" t="s">
        <v>5</v>
      </c>
      <c r="E58" s="8" t="s">
        <v>109</v>
      </c>
      <c r="F58" s="8"/>
      <c r="G58" s="77" t="s">
        <v>214</v>
      </c>
      <c r="H58" s="77" t="s">
        <v>6</v>
      </c>
      <c r="I58" s="8" t="s">
        <v>7</v>
      </c>
      <c r="J58" s="74" t="s">
        <v>7</v>
      </c>
      <c r="K58" s="74" t="s">
        <v>527</v>
      </c>
      <c r="L58" s="90" t="s">
        <v>599</v>
      </c>
      <c r="M58" s="81" t="s">
        <v>566</v>
      </c>
      <c r="N58" s="74" t="s">
        <v>6</v>
      </c>
      <c r="O58" s="74" t="s">
        <v>221</v>
      </c>
      <c r="P58" s="74" t="s">
        <v>221</v>
      </c>
      <c r="Q58" s="81">
        <v>23980</v>
      </c>
      <c r="R58" s="74" t="s">
        <v>222</v>
      </c>
      <c r="S58" s="79">
        <f>(Q58-AA58)/Q58</f>
        <v>-0.20683903252710592</v>
      </c>
      <c r="T58" s="80">
        <f>AVERAGE(Q58:Q58)</f>
        <v>23980</v>
      </c>
      <c r="U58" s="81"/>
      <c r="V58" s="81"/>
      <c r="W58" s="81"/>
      <c r="X58" s="81"/>
      <c r="Y58" s="81">
        <v>34456</v>
      </c>
      <c r="Z58" s="81">
        <v>36558</v>
      </c>
      <c r="AA58" s="81">
        <v>28940</v>
      </c>
      <c r="AB58" s="80">
        <v>16704</v>
      </c>
      <c r="AC58" s="80" t="s">
        <v>222</v>
      </c>
      <c r="AD58" s="80">
        <f>Q58/100*69</f>
        <v>16546.2</v>
      </c>
      <c r="AE58" s="86">
        <v>7276</v>
      </c>
      <c r="AF58" s="80" t="s">
        <v>222</v>
      </c>
      <c r="AG58" s="81" t="s">
        <v>221</v>
      </c>
      <c r="AH58" s="86">
        <v>45</v>
      </c>
      <c r="AI58" s="86">
        <v>1403</v>
      </c>
      <c r="AJ58" s="80" t="s">
        <v>222</v>
      </c>
      <c r="AK58" s="80">
        <v>95</v>
      </c>
      <c r="AL58" s="86">
        <v>6355</v>
      </c>
      <c r="AM58" s="86">
        <v>58</v>
      </c>
      <c r="AN58" s="80" t="s">
        <v>222</v>
      </c>
      <c r="AO58" s="74">
        <v>59</v>
      </c>
      <c r="AP58" s="86">
        <v>2471</v>
      </c>
      <c r="AQ58" s="80" t="s">
        <v>75</v>
      </c>
      <c r="AR58" s="74">
        <v>13</v>
      </c>
      <c r="AS58" s="86">
        <v>338</v>
      </c>
      <c r="AT58" s="80" t="s">
        <v>222</v>
      </c>
      <c r="AU58" s="80" t="s">
        <v>6</v>
      </c>
      <c r="AV58" s="80" t="s">
        <v>6</v>
      </c>
      <c r="AW58" s="86">
        <v>8544</v>
      </c>
      <c r="AX58" s="80" t="s">
        <v>6</v>
      </c>
      <c r="AY58" s="88">
        <v>4156</v>
      </c>
      <c r="AZ58" s="74" t="s">
        <v>221</v>
      </c>
      <c r="BA58" s="92" t="s">
        <v>301</v>
      </c>
      <c r="BB58" s="92" t="s">
        <v>301</v>
      </c>
      <c r="BC58" s="71" t="s">
        <v>221</v>
      </c>
      <c r="BD58" s="74">
        <v>40</v>
      </c>
      <c r="BE58" s="74">
        <v>40</v>
      </c>
      <c r="BF58" s="74">
        <v>47</v>
      </c>
      <c r="BG58" s="111">
        <v>2500</v>
      </c>
      <c r="BH58" s="74" t="s">
        <v>223</v>
      </c>
      <c r="BI58" s="96">
        <f>BG58/7*50</f>
        <v>17857.142857142859</v>
      </c>
      <c r="BJ58" s="111"/>
      <c r="BK58" s="111">
        <v>3451</v>
      </c>
      <c r="BL58" s="74">
        <v>12</v>
      </c>
      <c r="BM58" s="74">
        <v>5.7</v>
      </c>
      <c r="BN58" s="74" t="s">
        <v>222</v>
      </c>
      <c r="BO58" s="74">
        <v>11</v>
      </c>
      <c r="BP58" s="74">
        <v>5.9</v>
      </c>
      <c r="BQ58" s="104" t="s">
        <v>570</v>
      </c>
      <c r="BR58" s="104" t="s">
        <v>75</v>
      </c>
      <c r="BS58" s="71">
        <f>AD58/100*(44)*11.29</f>
        <v>82194.903120000003</v>
      </c>
      <c r="BT58" s="71">
        <f>AD58/100*(56)*22.59</f>
        <v>209316.04848000003</v>
      </c>
      <c r="BU58" s="71"/>
      <c r="BV58" s="96">
        <f t="shared" si="0"/>
        <v>291510.95160000003</v>
      </c>
      <c r="BW58" s="101">
        <f>BM58*(1-0.25)*(1-0.26)*(1-0.25)*1.2</f>
        <v>2.8471500000000001</v>
      </c>
      <c r="BX58" s="101">
        <f>SUBTOTAL(9,BM58,BW58)</f>
        <v>8.5471500000000002</v>
      </c>
      <c r="BY58" s="28"/>
      <c r="BZ58" s="28"/>
      <c r="CA58" s="28"/>
      <c r="CB58" s="28"/>
      <c r="CC58" s="28"/>
      <c r="CD58" s="28"/>
      <c r="CE58" s="28"/>
    </row>
    <row r="59" spans="1:83" customFormat="1" ht="60" x14ac:dyDescent="0.25">
      <c r="A59" s="18" t="s">
        <v>685</v>
      </c>
      <c r="B59" s="5">
        <v>573</v>
      </c>
      <c r="C59" s="8" t="s">
        <v>30</v>
      </c>
      <c r="D59" s="8" t="s">
        <v>5</v>
      </c>
      <c r="E59" s="8" t="s">
        <v>109</v>
      </c>
      <c r="F59" s="8" t="s">
        <v>110</v>
      </c>
      <c r="G59" s="77" t="s">
        <v>6</v>
      </c>
      <c r="H59" s="77" t="s">
        <v>111</v>
      </c>
      <c r="I59" s="8" t="s">
        <v>9</v>
      </c>
      <c r="J59" s="74"/>
      <c r="K59" s="74" t="s">
        <v>390</v>
      </c>
      <c r="L59" s="90" t="s">
        <v>603</v>
      </c>
      <c r="M59" s="81"/>
      <c r="N59" s="74"/>
      <c r="O59" s="74"/>
      <c r="P59" s="74"/>
      <c r="Q59" s="81" t="s">
        <v>390</v>
      </c>
      <c r="R59" s="74"/>
      <c r="S59" s="79"/>
      <c r="T59" s="81"/>
      <c r="U59" s="81">
        <v>16006</v>
      </c>
      <c r="V59" s="81">
        <v>18777</v>
      </c>
      <c r="W59" s="81">
        <v>15385</v>
      </c>
      <c r="X59" s="81">
        <v>15024</v>
      </c>
      <c r="Y59" s="81">
        <v>3677</v>
      </c>
      <c r="Z59" s="81"/>
      <c r="AA59" s="81" t="s">
        <v>390</v>
      </c>
      <c r="AB59" s="81"/>
      <c r="AC59" s="81"/>
      <c r="AD59" s="81"/>
      <c r="AE59" s="88"/>
      <c r="AF59" s="81"/>
      <c r="AG59" s="81"/>
      <c r="AH59" s="88"/>
      <c r="AI59" s="88"/>
      <c r="AJ59" s="81"/>
      <c r="AK59" s="81"/>
      <c r="AL59" s="88"/>
      <c r="AM59" s="88"/>
      <c r="AN59" s="81"/>
      <c r="AO59" s="74"/>
      <c r="AP59" s="88"/>
      <c r="AQ59" s="81"/>
      <c r="AR59" s="74"/>
      <c r="AS59" s="88"/>
      <c r="AT59" s="81"/>
      <c r="AU59" s="81" t="s">
        <v>6</v>
      </c>
      <c r="AV59" s="81"/>
      <c r="AW59" s="88"/>
      <c r="AX59" s="81"/>
      <c r="AY59" s="88"/>
      <c r="AZ59" s="74" t="s">
        <v>390</v>
      </c>
      <c r="BA59" s="92"/>
      <c r="BB59" s="92"/>
      <c r="BC59" s="71"/>
      <c r="BD59" s="74"/>
      <c r="BE59" s="74"/>
      <c r="BF59" s="74">
        <v>43</v>
      </c>
      <c r="BG59" s="111"/>
      <c r="BH59" s="74"/>
      <c r="BI59" s="96">
        <f>BG59/7*50</f>
        <v>0</v>
      </c>
      <c r="BJ59" s="111"/>
      <c r="BK59" s="111">
        <v>774</v>
      </c>
      <c r="BL59" s="74"/>
      <c r="BM59" s="74"/>
      <c r="BN59" s="74"/>
      <c r="BO59" s="74">
        <v>11</v>
      </c>
      <c r="BP59" s="74">
        <v>8</v>
      </c>
      <c r="BQ59" s="104"/>
      <c r="BR59" s="104"/>
      <c r="BS59" s="71"/>
      <c r="BT59" s="71"/>
      <c r="BU59" s="71"/>
      <c r="BV59" s="96">
        <f t="shared" si="0"/>
        <v>0</v>
      </c>
      <c r="BW59" s="101"/>
      <c r="BX59" s="101"/>
    </row>
    <row r="60" spans="1:83" customFormat="1" ht="75" x14ac:dyDescent="0.25">
      <c r="A60" s="110" t="s">
        <v>204</v>
      </c>
      <c r="B60" s="5">
        <v>2140</v>
      </c>
      <c r="C60" s="8" t="s">
        <v>205</v>
      </c>
      <c r="D60" s="8" t="s">
        <v>5</v>
      </c>
      <c r="E60" s="76" t="s">
        <v>174</v>
      </c>
      <c r="F60" s="76"/>
      <c r="G60" s="77" t="s">
        <v>214</v>
      </c>
      <c r="H60" s="77" t="s">
        <v>6</v>
      </c>
      <c r="I60" s="8" t="s">
        <v>7</v>
      </c>
      <c r="J60" s="74" t="s">
        <v>8</v>
      </c>
      <c r="K60" s="74" t="s">
        <v>526</v>
      </c>
      <c r="L60" s="90" t="s">
        <v>600</v>
      </c>
      <c r="M60" s="81">
        <v>595</v>
      </c>
      <c r="N60" s="74" t="s">
        <v>6</v>
      </c>
      <c r="O60" s="74" t="s">
        <v>221</v>
      </c>
      <c r="P60" s="74" t="s">
        <v>221</v>
      </c>
      <c r="Q60" s="81">
        <v>2500</v>
      </c>
      <c r="R60" s="74" t="s">
        <v>223</v>
      </c>
      <c r="S60" s="79">
        <f>(Q60-AA60)/Q60</f>
        <v>-1.4532</v>
      </c>
      <c r="T60" s="80">
        <f>AVERAGE(Q60:Q60)</f>
        <v>2500</v>
      </c>
      <c r="U60" s="81">
        <v>5300</v>
      </c>
      <c r="V60" s="81">
        <v>4000</v>
      </c>
      <c r="W60" s="81">
        <v>3421</v>
      </c>
      <c r="X60" s="81">
        <v>4060</v>
      </c>
      <c r="Y60" s="81"/>
      <c r="Z60" s="81"/>
      <c r="AA60" s="81">
        <v>6133</v>
      </c>
      <c r="AB60" s="80">
        <v>2000</v>
      </c>
      <c r="AC60" s="80" t="s">
        <v>223</v>
      </c>
      <c r="AD60" s="80">
        <f>Q60/100*75</f>
        <v>1875</v>
      </c>
      <c r="AE60" s="86">
        <v>500</v>
      </c>
      <c r="AF60" s="80" t="s">
        <v>223</v>
      </c>
      <c r="AG60" s="81" t="s">
        <v>263</v>
      </c>
      <c r="AH60" s="86">
        <v>0</v>
      </c>
      <c r="AI60" s="86">
        <v>0</v>
      </c>
      <c r="AJ60" s="80" t="s">
        <v>222</v>
      </c>
      <c r="AK60" s="80">
        <v>0</v>
      </c>
      <c r="AL60" s="86">
        <v>0</v>
      </c>
      <c r="AM60" s="86">
        <v>0</v>
      </c>
      <c r="AN60" s="80" t="s">
        <v>222</v>
      </c>
      <c r="AO60" s="74">
        <v>5</v>
      </c>
      <c r="AP60" s="86">
        <v>456</v>
      </c>
      <c r="AQ60" s="80" t="s">
        <v>223</v>
      </c>
      <c r="AR60" s="74">
        <v>2</v>
      </c>
      <c r="AS60" s="86">
        <v>50</v>
      </c>
      <c r="AT60" s="80" t="s">
        <v>223</v>
      </c>
      <c r="AU60" s="80" t="s">
        <v>6</v>
      </c>
      <c r="AV60" s="80" t="s">
        <v>6</v>
      </c>
      <c r="AW60" s="86" t="s">
        <v>281</v>
      </c>
      <c r="AX60" s="80" t="s">
        <v>6</v>
      </c>
      <c r="AY60" s="88">
        <v>750</v>
      </c>
      <c r="AZ60" s="74" t="s">
        <v>221</v>
      </c>
      <c r="BA60" s="92" t="s">
        <v>266</v>
      </c>
      <c r="BB60" s="92" t="s">
        <v>266</v>
      </c>
      <c r="BC60" s="71" t="s">
        <v>221</v>
      </c>
      <c r="BD60" s="74">
        <v>35</v>
      </c>
      <c r="BE60" s="74"/>
      <c r="BF60" s="74">
        <v>47</v>
      </c>
      <c r="BG60" s="111">
        <v>1500</v>
      </c>
      <c r="BH60" s="74" t="s">
        <v>223</v>
      </c>
      <c r="BI60" s="96">
        <f>BG60/7*50</f>
        <v>10714.285714285714</v>
      </c>
      <c r="BJ60" s="111"/>
      <c r="BK60" s="111">
        <v>5389</v>
      </c>
      <c r="BL60" s="74">
        <v>0</v>
      </c>
      <c r="BM60" s="74">
        <v>0</v>
      </c>
      <c r="BN60" s="74" t="s">
        <v>222</v>
      </c>
      <c r="BO60" s="74">
        <v>0</v>
      </c>
      <c r="BP60" s="74">
        <v>0</v>
      </c>
      <c r="BQ60" s="104" t="s">
        <v>339</v>
      </c>
      <c r="BR60" s="104" t="s">
        <v>340</v>
      </c>
      <c r="BS60" s="71">
        <f>AD60/100*(47)*12.86</f>
        <v>11332.875</v>
      </c>
      <c r="BT60" s="71">
        <f>AD60/100*(53)*25.73</f>
        <v>25569.1875</v>
      </c>
      <c r="BU60" s="71">
        <v>16944.604074999999</v>
      </c>
      <c r="BV60" s="96">
        <f t="shared" si="0"/>
        <v>53846.666574999996</v>
      </c>
      <c r="BW60" s="101">
        <f>BM60*(1-0.25)*(1-0.21)*(1-0.25)*1.2</f>
        <v>0</v>
      </c>
      <c r="BX60" s="101">
        <f>SUBTOTAL(9,BM60,BW60)</f>
        <v>0</v>
      </c>
    </row>
    <row r="61" spans="1:83" customFormat="1" ht="30" x14ac:dyDescent="0.25">
      <c r="A61" s="18" t="s">
        <v>84</v>
      </c>
      <c r="B61" s="5">
        <v>678</v>
      </c>
      <c r="C61" s="8" t="s">
        <v>4</v>
      </c>
      <c r="D61" s="8" t="s">
        <v>5</v>
      </c>
      <c r="E61" s="8" t="s">
        <v>68</v>
      </c>
      <c r="F61" s="8" t="s">
        <v>83</v>
      </c>
      <c r="G61" s="77" t="s">
        <v>214</v>
      </c>
      <c r="H61" s="77" t="s">
        <v>6</v>
      </c>
      <c r="I61" s="8" t="s">
        <v>9</v>
      </c>
      <c r="J61" s="74" t="s">
        <v>9</v>
      </c>
      <c r="K61" s="74" t="s">
        <v>528</v>
      </c>
      <c r="L61" s="90" t="s">
        <v>599</v>
      </c>
      <c r="M61" s="81" t="s">
        <v>541</v>
      </c>
      <c r="N61" s="74" t="s">
        <v>221</v>
      </c>
      <c r="O61" s="74" t="s">
        <v>221</v>
      </c>
      <c r="P61" s="74" t="s">
        <v>221</v>
      </c>
      <c r="Q61" s="81">
        <v>50007</v>
      </c>
      <c r="R61" s="74" t="s">
        <v>222</v>
      </c>
      <c r="S61" s="79">
        <f>(Q61-AA61)/Q61</f>
        <v>-0.17829503869458277</v>
      </c>
      <c r="T61" s="80">
        <f>AVERAGE(Q61:Q61)</f>
        <v>50007</v>
      </c>
      <c r="U61" s="81">
        <v>39883</v>
      </c>
      <c r="V61" s="81">
        <v>38991</v>
      </c>
      <c r="W61" s="81">
        <v>37795</v>
      </c>
      <c r="X61" s="81">
        <v>34777</v>
      </c>
      <c r="Y61" s="81">
        <v>33880</v>
      </c>
      <c r="Z61" s="81">
        <v>35852</v>
      </c>
      <c r="AA61" s="81">
        <v>58923</v>
      </c>
      <c r="AB61" s="80">
        <v>39929</v>
      </c>
      <c r="AC61" s="80" t="s">
        <v>222</v>
      </c>
      <c r="AD61" s="80">
        <f>Q61/100*68</f>
        <v>34004.76</v>
      </c>
      <c r="AE61" s="86">
        <v>9993</v>
      </c>
      <c r="AF61" s="80" t="s">
        <v>222</v>
      </c>
      <c r="AG61" s="81" t="s">
        <v>295</v>
      </c>
      <c r="AH61" s="86">
        <v>51</v>
      </c>
      <c r="AI61" s="86">
        <v>1676</v>
      </c>
      <c r="AJ61" s="80" t="s">
        <v>222</v>
      </c>
      <c r="AK61" s="80" t="s">
        <v>75</v>
      </c>
      <c r="AL61" s="86" t="s">
        <v>75</v>
      </c>
      <c r="AM61" s="86" t="s">
        <v>75</v>
      </c>
      <c r="AN61" s="80" t="s">
        <v>75</v>
      </c>
      <c r="AO61" s="74" t="s">
        <v>75</v>
      </c>
      <c r="AP61" s="86" t="s">
        <v>75</v>
      </c>
      <c r="AQ61" s="80" t="s">
        <v>75</v>
      </c>
      <c r="AR61" s="74" t="s">
        <v>75</v>
      </c>
      <c r="AS61" s="86" t="s">
        <v>75</v>
      </c>
      <c r="AT61" s="80" t="s">
        <v>75</v>
      </c>
      <c r="AU61" s="80" t="s">
        <v>6</v>
      </c>
      <c r="AV61" s="80" t="s">
        <v>6</v>
      </c>
      <c r="AW61" s="86" t="s">
        <v>75</v>
      </c>
      <c r="AX61" s="80" t="s">
        <v>6</v>
      </c>
      <c r="AY61" s="88" t="s">
        <v>75</v>
      </c>
      <c r="AZ61" s="74" t="s">
        <v>221</v>
      </c>
      <c r="BA61" s="92" t="s">
        <v>266</v>
      </c>
      <c r="BB61" s="92" t="s">
        <v>266</v>
      </c>
      <c r="BC61" s="71" t="s">
        <v>75</v>
      </c>
      <c r="BD61" s="74" t="s">
        <v>75</v>
      </c>
      <c r="BE61" s="74"/>
      <c r="BF61" s="74" t="s">
        <v>83</v>
      </c>
      <c r="BG61" s="111" t="s">
        <v>75</v>
      </c>
      <c r="BH61" s="74" t="s">
        <v>75</v>
      </c>
      <c r="BI61" s="96"/>
      <c r="BJ61" s="111"/>
      <c r="BK61" s="111" t="s">
        <v>83</v>
      </c>
      <c r="BL61" s="74" t="s">
        <v>75</v>
      </c>
      <c r="BM61" s="74" t="s">
        <v>75</v>
      </c>
      <c r="BN61" s="74" t="s">
        <v>75</v>
      </c>
      <c r="BO61" s="74" t="s">
        <v>83</v>
      </c>
      <c r="BP61" s="74" t="s">
        <v>83</v>
      </c>
      <c r="BQ61" s="104" t="s">
        <v>75</v>
      </c>
      <c r="BR61" s="104" t="s">
        <v>75</v>
      </c>
      <c r="BS61" s="71">
        <f>AD61/100*(31)*12.91</f>
        <v>136090.44999600001</v>
      </c>
      <c r="BT61" s="71">
        <f>AD61/100*(69)*25.82</f>
        <v>605822.0032080001</v>
      </c>
      <c r="BU61" s="71"/>
      <c r="BV61" s="96">
        <f t="shared" si="0"/>
        <v>741912.45320400014</v>
      </c>
      <c r="BW61" s="101" t="e">
        <f>BM61*(1-0.25)*(1-0.25)*(1-0.375)*1.2</f>
        <v>#VALUE!</v>
      </c>
      <c r="BX61" s="101" t="e">
        <f>SUBTOTAL(9,BM61,BW61)</f>
        <v>#VALUE!</v>
      </c>
    </row>
    <row r="62" spans="1:83" customFormat="1" ht="75" customHeight="1" x14ac:dyDescent="0.25">
      <c r="A62" s="18" t="s">
        <v>196</v>
      </c>
      <c r="B62" s="5">
        <v>1756</v>
      </c>
      <c r="C62" s="8" t="s">
        <v>4</v>
      </c>
      <c r="D62" s="8" t="s">
        <v>5</v>
      </c>
      <c r="E62" s="8" t="s">
        <v>174</v>
      </c>
      <c r="F62" s="8"/>
      <c r="G62" s="77"/>
      <c r="H62" s="77"/>
      <c r="I62" s="8" t="s">
        <v>53</v>
      </c>
      <c r="J62" s="74"/>
      <c r="K62" s="74"/>
      <c r="L62" s="90"/>
      <c r="M62" s="81"/>
      <c r="N62" s="74"/>
      <c r="O62" s="74"/>
      <c r="P62" s="74"/>
      <c r="Q62" s="81"/>
      <c r="R62" s="72"/>
      <c r="S62" s="79"/>
      <c r="T62" s="80"/>
      <c r="U62" s="81"/>
      <c r="V62" s="81"/>
      <c r="W62" s="81"/>
      <c r="X62" s="81"/>
      <c r="Y62" s="81"/>
      <c r="Z62" s="81"/>
      <c r="AA62" s="81"/>
      <c r="AB62" s="80"/>
      <c r="AC62" s="80"/>
      <c r="AD62" s="80"/>
      <c r="AE62" s="86"/>
      <c r="AF62" s="80"/>
      <c r="AG62" s="81"/>
      <c r="AH62" s="86"/>
      <c r="AI62" s="86"/>
      <c r="AJ62" s="80"/>
      <c r="AK62" s="80"/>
      <c r="AL62" s="86"/>
      <c r="AM62" s="86"/>
      <c r="AN62" s="80"/>
      <c r="AO62" s="74"/>
      <c r="AP62" s="86"/>
      <c r="AQ62" s="80"/>
      <c r="AR62" s="74"/>
      <c r="AS62" s="86"/>
      <c r="AT62" s="80"/>
      <c r="AU62" s="80" t="s">
        <v>6</v>
      </c>
      <c r="AV62" s="80"/>
      <c r="AW62" s="86"/>
      <c r="AX62" s="80"/>
      <c r="AY62" s="88"/>
      <c r="AZ62" s="74" t="s">
        <v>214</v>
      </c>
      <c r="BA62" s="92">
        <v>12.6</v>
      </c>
      <c r="BB62" s="92">
        <v>6.3</v>
      </c>
      <c r="BC62" s="71"/>
      <c r="BD62" s="72"/>
      <c r="BE62" s="72"/>
      <c r="BF62" s="72"/>
      <c r="BG62" s="111"/>
      <c r="BH62" s="72"/>
      <c r="BI62" s="96"/>
      <c r="BJ62" s="111"/>
      <c r="BK62" s="111"/>
      <c r="BL62" s="72"/>
      <c r="BM62" s="72"/>
      <c r="BN62" s="72"/>
      <c r="BO62" s="74"/>
      <c r="BP62" s="74"/>
      <c r="BQ62" s="104"/>
      <c r="BR62" s="104"/>
      <c r="BS62" s="71"/>
      <c r="BT62" s="71"/>
      <c r="BU62" s="71"/>
      <c r="BV62" s="96">
        <f t="shared" si="0"/>
        <v>0</v>
      </c>
      <c r="BW62" s="101"/>
      <c r="BX62" s="101"/>
    </row>
    <row r="63" spans="1:83" s="93" customFormat="1" ht="94.5" customHeight="1" x14ac:dyDescent="0.25">
      <c r="A63" s="113" t="s">
        <v>57</v>
      </c>
      <c r="B63" s="5">
        <v>2153</v>
      </c>
      <c r="C63" s="8" t="s">
        <v>4</v>
      </c>
      <c r="D63" s="8" t="s">
        <v>5</v>
      </c>
      <c r="E63" s="95" t="s">
        <v>25</v>
      </c>
      <c r="F63" s="78"/>
      <c r="G63" s="8" t="s">
        <v>6</v>
      </c>
      <c r="H63" s="8" t="s">
        <v>6</v>
      </c>
      <c r="I63" s="8" t="s">
        <v>58</v>
      </c>
      <c r="J63" s="90" t="s">
        <v>58</v>
      </c>
      <c r="K63" s="90" t="s">
        <v>529</v>
      </c>
      <c r="L63" s="90" t="s">
        <v>599</v>
      </c>
      <c r="M63" s="81">
        <v>2900</v>
      </c>
      <c r="N63" s="90" t="s">
        <v>6</v>
      </c>
      <c r="O63" s="90" t="s">
        <v>221</v>
      </c>
      <c r="P63" s="90" t="s">
        <v>6</v>
      </c>
      <c r="Q63" s="81">
        <v>365662</v>
      </c>
      <c r="R63" s="90" t="s">
        <v>222</v>
      </c>
      <c r="S63" s="123">
        <f>(Q63-AA63)/Q63</f>
        <v>-4.4215696462853671E-2</v>
      </c>
      <c r="T63" s="81">
        <f>AVERAGE(Q63:Q63)</f>
        <v>365662</v>
      </c>
      <c r="U63" s="81">
        <v>401248</v>
      </c>
      <c r="V63" s="81">
        <v>425348</v>
      </c>
      <c r="W63" s="81">
        <v>403021</v>
      </c>
      <c r="X63" s="81">
        <v>382289</v>
      </c>
      <c r="Y63" s="81">
        <v>422009</v>
      </c>
      <c r="Z63" s="81">
        <v>409960</v>
      </c>
      <c r="AA63" s="81">
        <v>381830</v>
      </c>
      <c r="AB63" s="81">
        <v>263890</v>
      </c>
      <c r="AC63" s="81" t="s">
        <v>222</v>
      </c>
      <c r="AD63" s="81">
        <f>Q63/100*68</f>
        <v>248650.16</v>
      </c>
      <c r="AE63" s="88">
        <v>101772</v>
      </c>
      <c r="AF63" s="81" t="s">
        <v>222</v>
      </c>
      <c r="AG63" s="81" t="s">
        <v>343</v>
      </c>
      <c r="AH63" s="88" t="s">
        <v>346</v>
      </c>
      <c r="AI63" s="88" t="s">
        <v>346</v>
      </c>
      <c r="AJ63" s="81" t="s">
        <v>223</v>
      </c>
      <c r="AK63" s="81" t="s">
        <v>346</v>
      </c>
      <c r="AL63" s="128" t="s">
        <v>346</v>
      </c>
      <c r="AM63" s="128" t="s">
        <v>347</v>
      </c>
      <c r="AN63" s="128" t="s">
        <v>223</v>
      </c>
      <c r="AO63" s="129" t="s">
        <v>346</v>
      </c>
      <c r="AP63" s="128" t="s">
        <v>346</v>
      </c>
      <c r="AQ63" s="128" t="s">
        <v>223</v>
      </c>
      <c r="AR63" s="129" t="s">
        <v>346</v>
      </c>
      <c r="AS63" s="128" t="s">
        <v>346</v>
      </c>
      <c r="AT63" s="81" t="s">
        <v>223</v>
      </c>
      <c r="AU63" s="81" t="s">
        <v>6</v>
      </c>
      <c r="AV63" s="81" t="s">
        <v>6</v>
      </c>
      <c r="AW63" s="88" t="s">
        <v>344</v>
      </c>
      <c r="AX63" s="81" t="s">
        <v>6</v>
      </c>
      <c r="AY63" s="88" t="s">
        <v>345</v>
      </c>
      <c r="AZ63" s="90" t="s">
        <v>6</v>
      </c>
      <c r="BA63" s="124">
        <v>18</v>
      </c>
      <c r="BB63" s="124">
        <v>9</v>
      </c>
      <c r="BC63" s="125" t="s">
        <v>6</v>
      </c>
      <c r="BD63" s="90">
        <v>346</v>
      </c>
      <c r="BE63" s="90">
        <v>267</v>
      </c>
      <c r="BF63" s="90">
        <v>657</v>
      </c>
      <c r="BG63" s="112">
        <v>1482</v>
      </c>
      <c r="BH63" s="90" t="s">
        <v>223</v>
      </c>
      <c r="BI63" s="126">
        <f>BG63/7*50</f>
        <v>10585.714285714286</v>
      </c>
      <c r="BJ63" s="112">
        <v>23124</v>
      </c>
      <c r="BK63" s="112">
        <v>76132</v>
      </c>
      <c r="BL63" s="90" t="s">
        <v>348</v>
      </c>
      <c r="BM63" s="90" t="s">
        <v>348</v>
      </c>
      <c r="BN63" s="90" t="s">
        <v>223</v>
      </c>
      <c r="BO63" s="90" t="s">
        <v>622</v>
      </c>
      <c r="BP63" s="90" t="s">
        <v>75</v>
      </c>
      <c r="BQ63" s="104" t="s">
        <v>75</v>
      </c>
      <c r="BR63" s="104" t="s">
        <v>349</v>
      </c>
      <c r="BS63" s="125">
        <f>AD63/100*(31)*17.99</f>
        <v>1386697.0773039998</v>
      </c>
      <c r="BT63" s="125">
        <f>AD63/100*(69)*35.98</f>
        <v>6173038.6021919996</v>
      </c>
      <c r="BU63" s="125"/>
      <c r="BV63" s="96">
        <f t="shared" si="0"/>
        <v>7559735.6794959996</v>
      </c>
      <c r="BW63" s="127"/>
      <c r="BX63" s="127">
        <f>SUBTOTAL(9,BM63,BW63)</f>
        <v>0</v>
      </c>
    </row>
    <row r="64" spans="1:83" customFormat="1" ht="75" x14ac:dyDescent="0.25">
      <c r="A64" s="18" t="s">
        <v>21</v>
      </c>
      <c r="B64" s="5">
        <v>116</v>
      </c>
      <c r="C64" s="8" t="s">
        <v>12</v>
      </c>
      <c r="D64" s="8" t="s">
        <v>5</v>
      </c>
      <c r="E64" s="8" t="s">
        <v>11</v>
      </c>
      <c r="F64" s="8"/>
      <c r="G64" s="77" t="s">
        <v>6</v>
      </c>
      <c r="H64" s="77"/>
      <c r="I64" s="8" t="s">
        <v>8</v>
      </c>
      <c r="J64" s="74" t="s">
        <v>8</v>
      </c>
      <c r="K64" s="74" t="s">
        <v>526</v>
      </c>
      <c r="L64" s="90" t="s">
        <v>600</v>
      </c>
      <c r="M64" s="81" t="s">
        <v>623</v>
      </c>
      <c r="N64" s="74" t="s">
        <v>6</v>
      </c>
      <c r="O64" s="74" t="s">
        <v>221</v>
      </c>
      <c r="P64" s="74" t="s">
        <v>221</v>
      </c>
      <c r="Q64" s="81">
        <v>3800</v>
      </c>
      <c r="R64" s="74" t="s">
        <v>223</v>
      </c>
      <c r="S64" s="79"/>
      <c r="T64" s="80">
        <f>AVERAGE(Q64:Q64)</f>
        <v>3800</v>
      </c>
      <c r="U64" s="81"/>
      <c r="V64" s="81"/>
      <c r="W64" s="81"/>
      <c r="X64" s="81"/>
      <c r="Y64" s="81"/>
      <c r="Z64" s="81"/>
      <c r="AA64" s="81"/>
      <c r="AB64" s="80">
        <v>3600</v>
      </c>
      <c r="AC64" s="80" t="s">
        <v>223</v>
      </c>
      <c r="AD64" s="80">
        <f>Q64/100*75</f>
        <v>2850</v>
      </c>
      <c r="AE64" s="86">
        <v>200</v>
      </c>
      <c r="AF64" s="80" t="s">
        <v>223</v>
      </c>
      <c r="AG64" s="81" t="s">
        <v>224</v>
      </c>
      <c r="AH64" s="86">
        <v>3</v>
      </c>
      <c r="AI64" s="86">
        <v>200</v>
      </c>
      <c r="AJ64" s="80" t="s">
        <v>223</v>
      </c>
      <c r="AK64" s="80">
        <v>1</v>
      </c>
      <c r="AL64" s="86">
        <v>35</v>
      </c>
      <c r="AM64" s="86">
        <v>3</v>
      </c>
      <c r="AN64" s="80" t="s">
        <v>222</v>
      </c>
      <c r="AO64" s="74">
        <v>6</v>
      </c>
      <c r="AP64" s="86">
        <v>150</v>
      </c>
      <c r="AQ64" s="80" t="s">
        <v>223</v>
      </c>
      <c r="AR64" s="74">
        <v>0</v>
      </c>
      <c r="AS64" s="86">
        <v>0</v>
      </c>
      <c r="AT64" s="80" t="s">
        <v>222</v>
      </c>
      <c r="AU64" s="80" t="s">
        <v>6</v>
      </c>
      <c r="AV64" s="80" t="s">
        <v>6</v>
      </c>
      <c r="AW64" s="86" t="s">
        <v>373</v>
      </c>
      <c r="AX64" s="80" t="s">
        <v>221</v>
      </c>
      <c r="AY64" s="88" t="s">
        <v>75</v>
      </c>
      <c r="AZ64" s="74" t="s">
        <v>320</v>
      </c>
      <c r="BA64" s="92">
        <v>0</v>
      </c>
      <c r="BB64" s="92">
        <v>0</v>
      </c>
      <c r="BC64" s="71" t="s">
        <v>221</v>
      </c>
      <c r="BD64" s="74">
        <v>12</v>
      </c>
      <c r="BE64" s="74"/>
      <c r="BF64" s="74"/>
      <c r="BG64" s="111">
        <v>1200</v>
      </c>
      <c r="BH64" s="74" t="s">
        <v>223</v>
      </c>
      <c r="BI64" s="96">
        <f>BG64/7*50</f>
        <v>8571.4285714285706</v>
      </c>
      <c r="BJ64" s="111"/>
      <c r="BK64" s="111"/>
      <c r="BL64" s="74">
        <v>3</v>
      </c>
      <c r="BM64" s="74"/>
      <c r="BN64" s="74" t="s">
        <v>222</v>
      </c>
      <c r="BO64" s="74"/>
      <c r="BP64" s="74"/>
      <c r="BQ64" s="104" t="s">
        <v>374</v>
      </c>
      <c r="BR64" s="104" t="s">
        <v>375</v>
      </c>
      <c r="BS64" s="71">
        <f>AD64/100*(47)*8.9</f>
        <v>11921.550000000001</v>
      </c>
      <c r="BT64" s="71">
        <f>AD64/100*(53)*17.79</f>
        <v>26871.794999999998</v>
      </c>
      <c r="BU64" s="71"/>
      <c r="BV64" s="96">
        <f t="shared" si="0"/>
        <v>38793.345000000001</v>
      </c>
      <c r="BW64" s="101">
        <f>BM64*(1-0.25)*(1-0.21)*(1-0.25)*1.2</f>
        <v>0</v>
      </c>
      <c r="BX64" s="101">
        <f>SUBTOTAL(9,BM64,BW64)</f>
        <v>0</v>
      </c>
    </row>
    <row r="65" spans="1:77" customFormat="1" ht="30" x14ac:dyDescent="0.25">
      <c r="A65" s="113" t="s">
        <v>184</v>
      </c>
      <c r="B65" s="5">
        <v>730</v>
      </c>
      <c r="C65" s="8" t="s">
        <v>4</v>
      </c>
      <c r="D65" s="8" t="s">
        <v>5</v>
      </c>
      <c r="E65" s="8" t="s">
        <v>174</v>
      </c>
      <c r="F65" s="8" t="s">
        <v>83</v>
      </c>
      <c r="G65" s="77" t="s">
        <v>214</v>
      </c>
      <c r="H65" s="77" t="s">
        <v>6</v>
      </c>
      <c r="I65" s="8" t="s">
        <v>9</v>
      </c>
      <c r="J65" s="74" t="s">
        <v>9</v>
      </c>
      <c r="K65" s="74" t="s">
        <v>527</v>
      </c>
      <c r="L65" s="90" t="s">
        <v>599</v>
      </c>
      <c r="M65" s="81" t="s">
        <v>545</v>
      </c>
      <c r="N65" s="74" t="s">
        <v>221</v>
      </c>
      <c r="O65" s="74" t="s">
        <v>221</v>
      </c>
      <c r="P65" s="74" t="s">
        <v>221</v>
      </c>
      <c r="Q65" s="81">
        <v>47115</v>
      </c>
      <c r="R65" s="74" t="s">
        <v>222</v>
      </c>
      <c r="S65" s="79">
        <f>(Q65-AA65)/Q65</f>
        <v>4.8901623686723975E-2</v>
      </c>
      <c r="T65" s="80">
        <f>AVERAGE(Q65:Q65)</f>
        <v>47115</v>
      </c>
      <c r="U65" s="81">
        <v>38889</v>
      </c>
      <c r="V65" s="81">
        <v>41831</v>
      </c>
      <c r="W65" s="81">
        <v>58494</v>
      </c>
      <c r="X65" s="81">
        <v>60093</v>
      </c>
      <c r="Y65" s="81">
        <v>53906</v>
      </c>
      <c r="Z65" s="81">
        <v>54589</v>
      </c>
      <c r="AA65" s="81">
        <v>44811</v>
      </c>
      <c r="AB65" s="80">
        <v>29199</v>
      </c>
      <c r="AC65" s="80" t="s">
        <v>222</v>
      </c>
      <c r="AD65" s="80">
        <f>Q65/100*69</f>
        <v>32509.35</v>
      </c>
      <c r="AE65" s="86">
        <v>17916</v>
      </c>
      <c r="AF65" s="80" t="s">
        <v>222</v>
      </c>
      <c r="AG65" s="81" t="s">
        <v>295</v>
      </c>
      <c r="AH65" s="86">
        <v>244</v>
      </c>
      <c r="AI65" s="86">
        <v>6258</v>
      </c>
      <c r="AJ65" s="80" t="s">
        <v>222</v>
      </c>
      <c r="AK65" s="80">
        <v>7</v>
      </c>
      <c r="AL65" s="86">
        <v>206</v>
      </c>
      <c r="AM65" s="86">
        <v>6</v>
      </c>
      <c r="AN65" s="80" t="s">
        <v>222</v>
      </c>
      <c r="AO65" s="74">
        <v>82</v>
      </c>
      <c r="AP65" s="86">
        <v>3092</v>
      </c>
      <c r="AQ65" s="80" t="s">
        <v>222</v>
      </c>
      <c r="AR65" s="74">
        <v>6</v>
      </c>
      <c r="AS65" s="86">
        <v>618</v>
      </c>
      <c r="AT65" s="80" t="s">
        <v>222</v>
      </c>
      <c r="AU65" s="80" t="s">
        <v>6</v>
      </c>
      <c r="AV65" s="80" t="s">
        <v>6</v>
      </c>
      <c r="AW65" s="86" t="s">
        <v>75</v>
      </c>
      <c r="AX65" s="80" t="s">
        <v>6</v>
      </c>
      <c r="AY65" s="88">
        <v>816</v>
      </c>
      <c r="AZ65" s="74" t="s">
        <v>221</v>
      </c>
      <c r="BA65" s="92" t="s">
        <v>266</v>
      </c>
      <c r="BB65" s="92" t="s">
        <v>266</v>
      </c>
      <c r="BC65" s="71" t="s">
        <v>75</v>
      </c>
      <c r="BD65" s="74">
        <v>30</v>
      </c>
      <c r="BE65" s="74"/>
      <c r="BF65" s="74" t="s">
        <v>83</v>
      </c>
      <c r="BG65" s="111">
        <v>3411</v>
      </c>
      <c r="BH65" s="74" t="s">
        <v>222</v>
      </c>
      <c r="BI65" s="96">
        <f>BG65/7*50</f>
        <v>24364.285714285714</v>
      </c>
      <c r="BJ65" s="111"/>
      <c r="BK65" s="111" t="s">
        <v>83</v>
      </c>
      <c r="BL65" s="74" t="s">
        <v>75</v>
      </c>
      <c r="BM65" s="74" t="s">
        <v>75</v>
      </c>
      <c r="BN65" s="74" t="s">
        <v>75</v>
      </c>
      <c r="BO65" s="74" t="s">
        <v>83</v>
      </c>
      <c r="BP65" s="74" t="s">
        <v>83</v>
      </c>
      <c r="BQ65" s="104" t="s">
        <v>75</v>
      </c>
      <c r="BR65" s="104" t="s">
        <v>75</v>
      </c>
      <c r="BS65" s="71">
        <f>AD65/100*(44)*12.86</f>
        <v>183950.90603999997</v>
      </c>
      <c r="BT65" s="71">
        <f>AD65/100*(56)*25.73</f>
        <v>468420.72228000005</v>
      </c>
      <c r="BU65" s="71"/>
      <c r="BV65" s="96">
        <f t="shared" si="0"/>
        <v>652371.62832000002</v>
      </c>
      <c r="BW65" s="101" t="e">
        <f>BM65*(1-0.25)*(1-0.26)*(1-0.25)*1.2</f>
        <v>#VALUE!</v>
      </c>
      <c r="BX65" s="101" t="e">
        <f>SUBTOTAL(9,BM65,BW65)</f>
        <v>#VALUE!</v>
      </c>
      <c r="BY65" s="28"/>
    </row>
    <row r="66" spans="1:77" customFormat="1" ht="75" x14ac:dyDescent="0.25">
      <c r="A66" s="110" t="s">
        <v>193</v>
      </c>
      <c r="B66" s="5">
        <v>890</v>
      </c>
      <c r="C66" s="8" t="s">
        <v>4</v>
      </c>
      <c r="D66" s="8" t="s">
        <v>5</v>
      </c>
      <c r="E66" s="76" t="s">
        <v>174</v>
      </c>
      <c r="F66" s="76"/>
      <c r="G66" s="77" t="s">
        <v>6</v>
      </c>
      <c r="H66" s="77" t="s">
        <v>6</v>
      </c>
      <c r="I66" s="8" t="s">
        <v>7</v>
      </c>
      <c r="J66" s="74" t="s">
        <v>7</v>
      </c>
      <c r="K66" s="74" t="s">
        <v>527</v>
      </c>
      <c r="L66" s="90" t="s">
        <v>600</v>
      </c>
      <c r="M66" s="81">
        <v>389</v>
      </c>
      <c r="N66" s="74" t="s">
        <v>6</v>
      </c>
      <c r="O66" s="74" t="s">
        <v>6</v>
      </c>
      <c r="P66" s="74" t="s">
        <v>221</v>
      </c>
      <c r="Q66" s="81">
        <v>9946</v>
      </c>
      <c r="R66" s="74" t="s">
        <v>222</v>
      </c>
      <c r="S66" s="79">
        <f>(Q66-AA66)/Q66</f>
        <v>-2.5638447617132517E-2</v>
      </c>
      <c r="T66" s="80">
        <f>AVERAGE(Q66:Q66)</f>
        <v>9946</v>
      </c>
      <c r="U66" s="81">
        <v>7173</v>
      </c>
      <c r="V66" s="81">
        <v>7110</v>
      </c>
      <c r="W66" s="81">
        <v>6565</v>
      </c>
      <c r="X66" s="81">
        <v>6897</v>
      </c>
      <c r="Y66" s="81"/>
      <c r="Z66" s="81"/>
      <c r="AA66" s="81">
        <v>10201</v>
      </c>
      <c r="AB66" s="80">
        <v>6853</v>
      </c>
      <c r="AC66" s="80" t="s">
        <v>222</v>
      </c>
      <c r="AD66" s="80">
        <f>Q66/100*69</f>
        <v>6862.74</v>
      </c>
      <c r="AE66" s="86">
        <v>3053</v>
      </c>
      <c r="AF66" s="80" t="s">
        <v>222</v>
      </c>
      <c r="AG66" s="81" t="s">
        <v>282</v>
      </c>
      <c r="AH66" s="86">
        <v>17</v>
      </c>
      <c r="AI66" s="86">
        <v>813</v>
      </c>
      <c r="AJ66" s="80" t="s">
        <v>222</v>
      </c>
      <c r="AK66" s="80">
        <v>0</v>
      </c>
      <c r="AL66" s="86">
        <v>0</v>
      </c>
      <c r="AM66" s="86">
        <v>0</v>
      </c>
      <c r="AN66" s="80" t="s">
        <v>222</v>
      </c>
      <c r="AO66" s="74">
        <v>15</v>
      </c>
      <c r="AP66" s="86">
        <v>670</v>
      </c>
      <c r="AQ66" s="80" t="s">
        <v>222</v>
      </c>
      <c r="AR66" s="74">
        <v>19</v>
      </c>
      <c r="AS66" s="86">
        <v>360</v>
      </c>
      <c r="AT66" s="80" t="s">
        <v>223</v>
      </c>
      <c r="AU66" s="80" t="s">
        <v>6</v>
      </c>
      <c r="AV66" s="80" t="s">
        <v>6</v>
      </c>
      <c r="AW66" s="86">
        <v>49500</v>
      </c>
      <c r="AX66" s="80" t="s">
        <v>6</v>
      </c>
      <c r="AY66" s="88" t="s">
        <v>341</v>
      </c>
      <c r="AZ66" s="74" t="s">
        <v>6</v>
      </c>
      <c r="BA66" s="92">
        <v>5.5</v>
      </c>
      <c r="BB66" s="92">
        <v>4</v>
      </c>
      <c r="BC66" s="71" t="s">
        <v>6</v>
      </c>
      <c r="BD66" s="74">
        <v>45</v>
      </c>
      <c r="BE66" s="74"/>
      <c r="BF66" s="74">
        <v>40</v>
      </c>
      <c r="BG66" s="111">
        <v>22498</v>
      </c>
      <c r="BH66" s="74" t="s">
        <v>222</v>
      </c>
      <c r="BI66" s="96">
        <f>BG66/7*50</f>
        <v>160700</v>
      </c>
      <c r="BJ66" s="111"/>
      <c r="BK66" s="111">
        <v>25000</v>
      </c>
      <c r="BL66" s="74">
        <v>0</v>
      </c>
      <c r="BM66" s="74">
        <v>0</v>
      </c>
      <c r="BN66" s="74" t="s">
        <v>222</v>
      </c>
      <c r="BO66" s="74">
        <v>0</v>
      </c>
      <c r="BP66" s="74">
        <v>0</v>
      </c>
      <c r="BQ66" s="104" t="s">
        <v>266</v>
      </c>
      <c r="BR66" s="104" t="s">
        <v>342</v>
      </c>
      <c r="BS66" s="71">
        <f>AD66/100*(44)*12.86</f>
        <v>38832.128015999995</v>
      </c>
      <c r="BT66" s="71">
        <f>AD66/100*(56)*25.73</f>
        <v>98883.848111999992</v>
      </c>
      <c r="BU66" s="71">
        <v>123201.1375</v>
      </c>
      <c r="BV66" s="96">
        <f t="shared" si="0"/>
        <v>260917.11362799996</v>
      </c>
      <c r="BW66" s="101">
        <f>BM66*(1-0.25)*(1-0.26)*(1-0.25)*1.2</f>
        <v>0</v>
      </c>
      <c r="BX66" s="101">
        <f>SUBTOTAL(9,BM66,BW66)</f>
        <v>0</v>
      </c>
    </row>
    <row r="67" spans="1:77" customFormat="1" ht="75" x14ac:dyDescent="0.25">
      <c r="A67" s="110" t="s">
        <v>13</v>
      </c>
      <c r="B67" s="5">
        <v>1587</v>
      </c>
      <c r="C67" s="8" t="s">
        <v>4</v>
      </c>
      <c r="D67" s="8" t="s">
        <v>5</v>
      </c>
      <c r="E67" s="8" t="s">
        <v>11</v>
      </c>
      <c r="F67" s="8"/>
      <c r="G67" s="77" t="s">
        <v>214</v>
      </c>
      <c r="H67" s="77" t="s">
        <v>6</v>
      </c>
      <c r="I67" s="8" t="s">
        <v>7</v>
      </c>
      <c r="J67" s="74" t="s">
        <v>7</v>
      </c>
      <c r="K67" s="74" t="s">
        <v>526</v>
      </c>
      <c r="L67" s="90" t="s">
        <v>600</v>
      </c>
      <c r="M67" s="81">
        <v>955</v>
      </c>
      <c r="N67" s="74" t="s">
        <v>6</v>
      </c>
      <c r="O67" s="74" t="s">
        <v>221</v>
      </c>
      <c r="P67" s="74" t="s">
        <v>221</v>
      </c>
      <c r="Q67" s="81">
        <v>6249</v>
      </c>
      <c r="R67" s="74" t="s">
        <v>222</v>
      </c>
      <c r="S67" s="79">
        <f>(Q67-AA67)/Q67</f>
        <v>0.19875180028804609</v>
      </c>
      <c r="T67" s="80">
        <f>AVERAGE(Q67:Q67)</f>
        <v>6249</v>
      </c>
      <c r="U67" s="81"/>
      <c r="V67" s="81"/>
      <c r="W67" s="81">
        <v>4247</v>
      </c>
      <c r="X67" s="81">
        <v>5353</v>
      </c>
      <c r="Y67" s="81">
        <v>4894</v>
      </c>
      <c r="Z67" s="81">
        <v>4109</v>
      </c>
      <c r="AA67" s="81">
        <v>5007</v>
      </c>
      <c r="AB67" s="80">
        <v>4307</v>
      </c>
      <c r="AC67" s="80" t="s">
        <v>222</v>
      </c>
      <c r="AD67" s="80">
        <f>Q67/100*75</f>
        <v>4686.75</v>
      </c>
      <c r="AE67" s="86">
        <v>1942</v>
      </c>
      <c r="AF67" s="80" t="s">
        <v>222</v>
      </c>
      <c r="AG67" s="81" t="s">
        <v>266</v>
      </c>
      <c r="AH67" s="86" t="s">
        <v>351</v>
      </c>
      <c r="AI67" s="86">
        <v>568</v>
      </c>
      <c r="AJ67" s="80" t="s">
        <v>222</v>
      </c>
      <c r="AK67" s="80">
        <v>0</v>
      </c>
      <c r="AL67" s="86">
        <v>0</v>
      </c>
      <c r="AM67" s="86">
        <v>19</v>
      </c>
      <c r="AN67" s="80" t="s">
        <v>222</v>
      </c>
      <c r="AO67" s="74">
        <v>13</v>
      </c>
      <c r="AP67" s="86">
        <v>332</v>
      </c>
      <c r="AQ67" s="80" t="s">
        <v>223</v>
      </c>
      <c r="AR67" s="74">
        <v>0</v>
      </c>
      <c r="AS67" s="86">
        <v>0</v>
      </c>
      <c r="AT67" s="80" t="s">
        <v>223</v>
      </c>
      <c r="AU67" s="80" t="s">
        <v>6</v>
      </c>
      <c r="AV67" s="80" t="s">
        <v>6</v>
      </c>
      <c r="AW67" s="86" t="s">
        <v>350</v>
      </c>
      <c r="AX67" s="80" t="s">
        <v>6</v>
      </c>
      <c r="AY67" s="88">
        <v>358</v>
      </c>
      <c r="AZ67" s="74" t="s">
        <v>221</v>
      </c>
      <c r="BA67" s="92" t="s">
        <v>301</v>
      </c>
      <c r="BB67" s="92" t="s">
        <v>301</v>
      </c>
      <c r="BC67" s="71" t="s">
        <v>221</v>
      </c>
      <c r="BD67" s="74">
        <v>43</v>
      </c>
      <c r="BE67" s="74">
        <v>31</v>
      </c>
      <c r="BF67" s="74">
        <v>44</v>
      </c>
      <c r="BG67" s="111">
        <v>5500</v>
      </c>
      <c r="BH67" s="74" t="s">
        <v>223</v>
      </c>
      <c r="BI67" s="96">
        <f>BG67/7*50</f>
        <v>39285.714285714283</v>
      </c>
      <c r="BJ67" s="111">
        <v>2800</v>
      </c>
      <c r="BK67" s="111">
        <v>4437</v>
      </c>
      <c r="BL67" s="74">
        <v>1</v>
      </c>
      <c r="BM67" s="74">
        <v>1</v>
      </c>
      <c r="BN67" s="74" t="s">
        <v>222</v>
      </c>
      <c r="BO67" s="74">
        <v>1</v>
      </c>
      <c r="BP67" s="74">
        <v>1</v>
      </c>
      <c r="BQ67" s="104" t="s">
        <v>352</v>
      </c>
      <c r="BR67" s="104" t="s">
        <v>353</v>
      </c>
      <c r="BS67" s="71">
        <f>AD67/100*(47)*8.9</f>
        <v>19604.67525</v>
      </c>
      <c r="BT67" s="71">
        <f>AD67/100*(53)*17.79</f>
        <v>44189.959725000001</v>
      </c>
      <c r="BU67" s="71">
        <v>550.91259999999693</v>
      </c>
      <c r="BV67" s="96">
        <f t="shared" si="0"/>
        <v>64345.547574999997</v>
      </c>
      <c r="BW67" s="101">
        <f>BM67*(1-0.25)*(1-0.21)*(1-0.25)*1.2</f>
        <v>0.53325</v>
      </c>
      <c r="BX67" s="101">
        <f>SUBTOTAL(9,BM67,BW67)</f>
        <v>1.53325</v>
      </c>
    </row>
    <row r="68" spans="1:77" customFormat="1" ht="45" x14ac:dyDescent="0.25">
      <c r="A68" s="113" t="s">
        <v>38</v>
      </c>
      <c r="B68" s="5">
        <v>694</v>
      </c>
      <c r="C68" s="8" t="s">
        <v>30</v>
      </c>
      <c r="D68" s="8" t="s">
        <v>5</v>
      </c>
      <c r="E68" s="95" t="s">
        <v>25</v>
      </c>
      <c r="F68" s="78" t="s">
        <v>6</v>
      </c>
      <c r="G68" s="77"/>
      <c r="H68" s="77"/>
      <c r="I68" s="8" t="s">
        <v>27</v>
      </c>
      <c r="J68" s="74"/>
      <c r="K68" s="74"/>
      <c r="L68" s="90"/>
      <c r="M68" s="81"/>
      <c r="N68" s="74"/>
      <c r="O68" s="74"/>
      <c r="P68" s="74"/>
      <c r="Q68" s="81"/>
      <c r="R68" s="72"/>
      <c r="S68" s="79"/>
      <c r="T68" s="80"/>
      <c r="U68" s="81">
        <v>70215</v>
      </c>
      <c r="V68" s="81">
        <v>67848</v>
      </c>
      <c r="W68" s="81">
        <v>72787</v>
      </c>
      <c r="X68" s="81"/>
      <c r="Y68" s="81"/>
      <c r="Z68" s="81"/>
      <c r="AA68" s="81"/>
      <c r="AB68" s="80"/>
      <c r="AC68" s="80"/>
      <c r="AD68" s="80"/>
      <c r="AE68" s="86"/>
      <c r="AF68" s="80"/>
      <c r="AG68" s="81"/>
      <c r="AH68" s="86"/>
      <c r="AI68" s="86"/>
      <c r="AJ68" s="80"/>
      <c r="AK68" s="80"/>
      <c r="AL68" s="86"/>
      <c r="AM68" s="86"/>
      <c r="AN68" s="80"/>
      <c r="AO68" s="74"/>
      <c r="AP68" s="86"/>
      <c r="AQ68" s="80"/>
      <c r="AR68" s="74"/>
      <c r="AS68" s="86"/>
      <c r="AT68" s="80"/>
      <c r="AU68" s="80" t="s">
        <v>6</v>
      </c>
      <c r="AV68" s="80"/>
      <c r="AW68" s="86"/>
      <c r="AX68" s="80"/>
      <c r="AY68" s="88"/>
      <c r="AZ68" s="74" t="s">
        <v>625</v>
      </c>
      <c r="BA68" s="92"/>
      <c r="BB68" s="92"/>
      <c r="BC68" s="71"/>
      <c r="BD68" s="72"/>
      <c r="BE68" s="72"/>
      <c r="BF68" s="72"/>
      <c r="BG68" s="111"/>
      <c r="BH68" s="72"/>
      <c r="BI68" s="96"/>
      <c r="BJ68" s="111"/>
      <c r="BK68" s="111"/>
      <c r="BL68" s="72"/>
      <c r="BM68" s="72"/>
      <c r="BN68" s="72"/>
      <c r="BO68" s="74"/>
      <c r="BP68" s="74"/>
      <c r="BQ68" s="104"/>
      <c r="BR68" s="104"/>
      <c r="BS68" s="71"/>
      <c r="BT68" s="71"/>
      <c r="BU68" s="71"/>
      <c r="BV68" s="96">
        <f t="shared" ref="BV68:BV131" si="5">SUM(BS68:BU68)</f>
        <v>0</v>
      </c>
      <c r="BW68" s="101"/>
      <c r="BX68" s="101"/>
    </row>
    <row r="69" spans="1:77" customFormat="1" ht="90" x14ac:dyDescent="0.25">
      <c r="A69" s="110" t="s">
        <v>177</v>
      </c>
      <c r="B69" s="5">
        <v>591</v>
      </c>
      <c r="C69" s="8" t="s">
        <v>4</v>
      </c>
      <c r="D69" s="8" t="s">
        <v>5</v>
      </c>
      <c r="E69" s="76" t="s">
        <v>174</v>
      </c>
      <c r="F69" s="76"/>
      <c r="G69" s="77" t="s">
        <v>6</v>
      </c>
      <c r="H69" s="77" t="s">
        <v>6</v>
      </c>
      <c r="I69" s="8" t="s">
        <v>7</v>
      </c>
      <c r="J69" s="74" t="s">
        <v>7</v>
      </c>
      <c r="K69" s="74" t="s">
        <v>528</v>
      </c>
      <c r="L69" s="90" t="s">
        <v>601</v>
      </c>
      <c r="M69" s="81">
        <v>1647</v>
      </c>
      <c r="N69" s="74" t="s">
        <v>221</v>
      </c>
      <c r="O69" s="74" t="s">
        <v>221</v>
      </c>
      <c r="P69" s="74" t="s">
        <v>221</v>
      </c>
      <c r="Q69" s="81">
        <v>50000</v>
      </c>
      <c r="R69" s="74" t="s">
        <v>223</v>
      </c>
      <c r="S69" s="79"/>
      <c r="T69" s="80">
        <f>AVERAGE(Q69:Q69)</f>
        <v>50000</v>
      </c>
      <c r="U69" s="81">
        <v>35000</v>
      </c>
      <c r="V69" s="81">
        <v>35000</v>
      </c>
      <c r="W69" s="81">
        <v>50000</v>
      </c>
      <c r="X69" s="81">
        <v>50000</v>
      </c>
      <c r="Y69" s="81">
        <v>50000</v>
      </c>
      <c r="Z69" s="81">
        <v>50000</v>
      </c>
      <c r="AA69" s="81" t="s">
        <v>266</v>
      </c>
      <c r="AB69" s="80" t="s">
        <v>75</v>
      </c>
      <c r="AC69" s="80" t="s">
        <v>75</v>
      </c>
      <c r="AD69" s="80">
        <f>Q69/100*68</f>
        <v>34000</v>
      </c>
      <c r="AE69" s="86" t="s">
        <v>75</v>
      </c>
      <c r="AF69" s="80" t="s">
        <v>75</v>
      </c>
      <c r="AG69" s="81" t="s">
        <v>455</v>
      </c>
      <c r="AH69" s="86" t="s">
        <v>75</v>
      </c>
      <c r="AI69" s="86" t="s">
        <v>75</v>
      </c>
      <c r="AJ69" s="80" t="s">
        <v>75</v>
      </c>
      <c r="AK69" s="80" t="s">
        <v>75</v>
      </c>
      <c r="AL69" s="86" t="s">
        <v>75</v>
      </c>
      <c r="AM69" s="86" t="s">
        <v>75</v>
      </c>
      <c r="AN69" s="80" t="s">
        <v>75</v>
      </c>
      <c r="AO69" s="74" t="s">
        <v>75</v>
      </c>
      <c r="AP69" s="86" t="s">
        <v>75</v>
      </c>
      <c r="AQ69" s="80" t="s">
        <v>75</v>
      </c>
      <c r="AR69" s="74" t="s">
        <v>75</v>
      </c>
      <c r="AS69" s="86" t="s">
        <v>75</v>
      </c>
      <c r="AT69" s="80" t="s">
        <v>75</v>
      </c>
      <c r="AU69" s="80" t="s">
        <v>6</v>
      </c>
      <c r="AV69" s="80" t="s">
        <v>6</v>
      </c>
      <c r="AW69" s="86">
        <v>722</v>
      </c>
      <c r="AX69" s="80" t="s">
        <v>6</v>
      </c>
      <c r="AY69" s="88" t="s">
        <v>75</v>
      </c>
      <c r="AZ69" s="74" t="s">
        <v>221</v>
      </c>
      <c r="BA69" s="92" t="s">
        <v>266</v>
      </c>
      <c r="BB69" s="92" t="s">
        <v>266</v>
      </c>
      <c r="BC69" s="71" t="s">
        <v>221</v>
      </c>
      <c r="BD69" s="74">
        <v>25</v>
      </c>
      <c r="BE69" s="74">
        <v>16</v>
      </c>
      <c r="BF69" s="74">
        <v>20</v>
      </c>
      <c r="BG69" s="111">
        <v>350</v>
      </c>
      <c r="BH69" s="74" t="s">
        <v>223</v>
      </c>
      <c r="BI69" s="96">
        <f t="shared" ref="BI69:BI74" si="6">BG69/7*50</f>
        <v>2500</v>
      </c>
      <c r="BJ69" s="111">
        <v>1250</v>
      </c>
      <c r="BK69" s="111">
        <v>400</v>
      </c>
      <c r="BL69" s="74">
        <v>0</v>
      </c>
      <c r="BM69" s="74">
        <v>0</v>
      </c>
      <c r="BN69" s="74" t="s">
        <v>222</v>
      </c>
      <c r="BO69" s="74">
        <v>1</v>
      </c>
      <c r="BP69" s="74">
        <v>0</v>
      </c>
      <c r="BQ69" s="104" t="s">
        <v>75</v>
      </c>
      <c r="BR69" s="104" t="s">
        <v>75</v>
      </c>
      <c r="BS69" s="71">
        <f>AD69/100*(31)*12.86</f>
        <v>135544.4</v>
      </c>
      <c r="BT69" s="71">
        <f>AD69/100*(69)*25.73</f>
        <v>603625.80000000005</v>
      </c>
      <c r="BU69" s="71">
        <v>5421.3412500000004</v>
      </c>
      <c r="BV69" s="96">
        <f t="shared" si="5"/>
        <v>744591.54125000013</v>
      </c>
      <c r="BW69" s="101">
        <f>BM69*(1-0.25)*(1-0.25)*(1-0.375)*1.2</f>
        <v>0</v>
      </c>
      <c r="BX69" s="101">
        <f>SUBTOTAL(9,BM69,BW69)</f>
        <v>0</v>
      </c>
    </row>
    <row r="70" spans="1:77" customFormat="1" ht="45" customHeight="1" x14ac:dyDescent="0.25">
      <c r="A70" s="110" t="s">
        <v>210</v>
      </c>
      <c r="B70" s="5" t="s">
        <v>522</v>
      </c>
      <c r="C70" s="8" t="s">
        <v>63</v>
      </c>
      <c r="D70" s="8" t="s">
        <v>5</v>
      </c>
      <c r="E70" s="76" t="s">
        <v>174</v>
      </c>
      <c r="F70" s="76"/>
      <c r="G70" s="77"/>
      <c r="H70" s="77" t="s">
        <v>6</v>
      </c>
      <c r="I70" s="8" t="s">
        <v>53</v>
      </c>
      <c r="J70" s="74"/>
      <c r="K70" s="74"/>
      <c r="L70" s="90"/>
      <c r="M70" s="81"/>
      <c r="N70" s="74"/>
      <c r="O70" s="74"/>
      <c r="P70" s="74"/>
      <c r="Q70" s="81"/>
      <c r="R70" s="72"/>
      <c r="S70" s="79"/>
      <c r="T70" s="80" t="e">
        <f>AVERAGE(Q70:Q70)</f>
        <v>#DIV/0!</v>
      </c>
      <c r="U70" s="81">
        <v>26933</v>
      </c>
      <c r="V70" s="81">
        <v>30794</v>
      </c>
      <c r="W70" s="81">
        <v>34394</v>
      </c>
      <c r="X70" s="81"/>
      <c r="Y70" s="81">
        <v>36546</v>
      </c>
      <c r="Z70" s="81">
        <v>31416</v>
      </c>
      <c r="AA70" s="81">
        <v>34233</v>
      </c>
      <c r="AB70" s="80"/>
      <c r="AC70" s="80"/>
      <c r="AD70" s="80">
        <f>Q70/100*73</f>
        <v>0</v>
      </c>
      <c r="AE70" s="86"/>
      <c r="AF70" s="80"/>
      <c r="AG70" s="81"/>
      <c r="AH70" s="86"/>
      <c r="AI70" s="86"/>
      <c r="AJ70" s="80"/>
      <c r="AK70" s="80"/>
      <c r="AL70" s="86"/>
      <c r="AM70" s="86"/>
      <c r="AN70" s="80"/>
      <c r="AO70" s="74"/>
      <c r="AP70" s="86"/>
      <c r="AQ70" s="80"/>
      <c r="AR70" s="74"/>
      <c r="AS70" s="86"/>
      <c r="AT70" s="80"/>
      <c r="AU70" s="80" t="s">
        <v>6</v>
      </c>
      <c r="AV70" s="80"/>
      <c r="AW70" s="86"/>
      <c r="AX70" s="80"/>
      <c r="AY70" s="88"/>
      <c r="AZ70" s="74" t="s">
        <v>214</v>
      </c>
      <c r="BA70" s="92">
        <v>6.5</v>
      </c>
      <c r="BB70" s="92">
        <v>3.25</v>
      </c>
      <c r="BC70" s="71"/>
      <c r="BD70" s="72"/>
      <c r="BE70" s="72">
        <v>6</v>
      </c>
      <c r="BF70" s="72">
        <v>45</v>
      </c>
      <c r="BG70" s="111"/>
      <c r="BH70" s="72"/>
      <c r="BI70" s="96">
        <f t="shared" si="6"/>
        <v>0</v>
      </c>
      <c r="BJ70" s="111">
        <v>50</v>
      </c>
      <c r="BK70" s="111">
        <v>7500</v>
      </c>
      <c r="BL70" s="72"/>
      <c r="BM70" s="72"/>
      <c r="BN70" s="72"/>
      <c r="BO70" s="74">
        <v>16</v>
      </c>
      <c r="BP70" s="74">
        <v>1</v>
      </c>
      <c r="BQ70" s="104"/>
      <c r="BR70" s="104"/>
      <c r="BS70" s="71"/>
      <c r="BT70" s="71"/>
      <c r="BU70" s="71"/>
      <c r="BV70" s="96">
        <f t="shared" si="5"/>
        <v>0</v>
      </c>
      <c r="BW70" s="101"/>
      <c r="BX70" s="101"/>
    </row>
    <row r="71" spans="1:77" customFormat="1" ht="30" x14ac:dyDescent="0.25">
      <c r="A71" s="110" t="s">
        <v>175</v>
      </c>
      <c r="B71" s="5">
        <v>570</v>
      </c>
      <c r="C71" s="8" t="s">
        <v>4</v>
      </c>
      <c r="D71" s="8" t="s">
        <v>5</v>
      </c>
      <c r="E71" s="76" t="s">
        <v>174</v>
      </c>
      <c r="F71" s="76"/>
      <c r="G71" s="77"/>
      <c r="H71" s="77" t="s">
        <v>6</v>
      </c>
      <c r="I71" s="8" t="s">
        <v>7</v>
      </c>
      <c r="J71" s="74"/>
      <c r="K71" s="74"/>
      <c r="L71" s="90"/>
      <c r="M71" s="81"/>
      <c r="N71" s="74"/>
      <c r="O71" s="74"/>
      <c r="P71" s="74"/>
      <c r="Q71" s="81"/>
      <c r="R71" s="72"/>
      <c r="S71" s="79"/>
      <c r="T71" s="80" t="e">
        <f>AVERAGE(Q71:Q71)</f>
        <v>#DIV/0!</v>
      </c>
      <c r="U71" s="81">
        <v>700</v>
      </c>
      <c r="V71" s="81">
        <v>750</v>
      </c>
      <c r="W71" s="81">
        <v>750</v>
      </c>
      <c r="X71" s="81">
        <v>850</v>
      </c>
      <c r="Y71" s="81">
        <v>900</v>
      </c>
      <c r="Z71" s="81">
        <v>950</v>
      </c>
      <c r="AA71" s="81">
        <v>663</v>
      </c>
      <c r="AB71" s="80"/>
      <c r="AC71" s="80"/>
      <c r="AD71" s="80"/>
      <c r="AE71" s="86"/>
      <c r="AF71" s="80"/>
      <c r="AG71" s="81"/>
      <c r="AH71" s="86"/>
      <c r="AI71" s="86"/>
      <c r="AJ71" s="80"/>
      <c r="AK71" s="80"/>
      <c r="AL71" s="86"/>
      <c r="AM71" s="86"/>
      <c r="AN71" s="80"/>
      <c r="AO71" s="74"/>
      <c r="AP71" s="86"/>
      <c r="AQ71" s="80"/>
      <c r="AR71" s="74"/>
      <c r="AS71" s="86"/>
      <c r="AT71" s="80"/>
      <c r="AU71" s="80" t="s">
        <v>6</v>
      </c>
      <c r="AV71" s="80"/>
      <c r="AW71" s="86"/>
      <c r="AX71" s="80"/>
      <c r="AY71" s="88"/>
      <c r="AZ71" s="74" t="s">
        <v>221</v>
      </c>
      <c r="BA71" s="92" t="s">
        <v>266</v>
      </c>
      <c r="BB71" s="92" t="s">
        <v>266</v>
      </c>
      <c r="BC71" s="71"/>
      <c r="BD71" s="72"/>
      <c r="BE71" s="72">
        <v>35</v>
      </c>
      <c r="BF71" s="72">
        <v>33</v>
      </c>
      <c r="BG71" s="111"/>
      <c r="BH71" s="72"/>
      <c r="BI71" s="96">
        <f t="shared" si="6"/>
        <v>0</v>
      </c>
      <c r="BJ71" s="111">
        <v>500</v>
      </c>
      <c r="BK71" s="111">
        <v>150</v>
      </c>
      <c r="BL71" s="72"/>
      <c r="BM71" s="72"/>
      <c r="BN71" s="72"/>
      <c r="BO71" s="74">
        <v>0</v>
      </c>
      <c r="BP71" s="74">
        <v>0</v>
      </c>
      <c r="BQ71" s="104"/>
      <c r="BR71" s="104"/>
      <c r="BS71" s="71"/>
      <c r="BT71" s="71"/>
      <c r="BU71" s="71"/>
      <c r="BV71" s="96">
        <f t="shared" si="5"/>
        <v>0</v>
      </c>
      <c r="BW71" s="101"/>
      <c r="BX71" s="101"/>
    </row>
    <row r="72" spans="1:77" customFormat="1" ht="75" x14ac:dyDescent="0.25">
      <c r="A72" s="18" t="s">
        <v>14</v>
      </c>
      <c r="B72" s="5">
        <v>1631</v>
      </c>
      <c r="C72" s="8" t="s">
        <v>4</v>
      </c>
      <c r="D72" s="8" t="s">
        <v>5</v>
      </c>
      <c r="E72" s="8" t="s">
        <v>11</v>
      </c>
      <c r="F72" s="8"/>
      <c r="G72" s="77" t="s">
        <v>214</v>
      </c>
      <c r="H72" s="77"/>
      <c r="I72" s="8" t="s">
        <v>7</v>
      </c>
      <c r="J72" s="74" t="s">
        <v>7</v>
      </c>
      <c r="K72" s="74" t="s">
        <v>527</v>
      </c>
      <c r="L72" s="90" t="s">
        <v>600</v>
      </c>
      <c r="M72" s="81">
        <v>600</v>
      </c>
      <c r="N72" s="74" t="s">
        <v>6</v>
      </c>
      <c r="O72" s="74" t="s">
        <v>221</v>
      </c>
      <c r="P72" s="74" t="s">
        <v>6</v>
      </c>
      <c r="Q72" s="81">
        <v>14602</v>
      </c>
      <c r="R72" s="74" t="s">
        <v>222</v>
      </c>
      <c r="S72" s="79"/>
      <c r="T72" s="80">
        <f>AVERAGE(Q72:Q72)</f>
        <v>14602</v>
      </c>
      <c r="U72" s="81">
        <v>17978</v>
      </c>
      <c r="V72" s="81">
        <v>16310</v>
      </c>
      <c r="W72" s="81">
        <v>13300</v>
      </c>
      <c r="X72" s="81">
        <v>10834</v>
      </c>
      <c r="Y72" s="81">
        <v>12351</v>
      </c>
      <c r="Z72" s="81"/>
      <c r="AA72" s="81"/>
      <c r="AB72" s="80">
        <v>10156</v>
      </c>
      <c r="AC72" s="80" t="s">
        <v>222</v>
      </c>
      <c r="AD72" s="80">
        <f>Q72/100*69</f>
        <v>10075.380000000001</v>
      </c>
      <c r="AE72" s="86">
        <v>3765</v>
      </c>
      <c r="AF72" s="80" t="s">
        <v>222</v>
      </c>
      <c r="AG72" s="81" t="s">
        <v>354</v>
      </c>
      <c r="AH72" s="86">
        <v>0</v>
      </c>
      <c r="AI72" s="86">
        <v>0</v>
      </c>
      <c r="AJ72" s="80" t="s">
        <v>222</v>
      </c>
      <c r="AK72" s="80">
        <v>1</v>
      </c>
      <c r="AL72" s="86">
        <v>30</v>
      </c>
      <c r="AM72" s="86">
        <v>12</v>
      </c>
      <c r="AN72" s="80" t="s">
        <v>222</v>
      </c>
      <c r="AO72" s="74">
        <v>24</v>
      </c>
      <c r="AP72" s="86">
        <v>500</v>
      </c>
      <c r="AQ72" s="80" t="s">
        <v>223</v>
      </c>
      <c r="AR72" s="74">
        <v>12</v>
      </c>
      <c r="AS72" s="86">
        <v>250</v>
      </c>
      <c r="AT72" s="80" t="s">
        <v>223</v>
      </c>
      <c r="AU72" s="80" t="s">
        <v>6</v>
      </c>
      <c r="AV72" s="80" t="s">
        <v>6</v>
      </c>
      <c r="AW72" s="86">
        <v>2000</v>
      </c>
      <c r="AX72" s="80" t="s">
        <v>6</v>
      </c>
      <c r="AY72" s="88">
        <v>1000</v>
      </c>
      <c r="AZ72" s="74" t="s">
        <v>6</v>
      </c>
      <c r="BA72" s="92">
        <v>10</v>
      </c>
      <c r="BB72" s="92">
        <v>6</v>
      </c>
      <c r="BC72" s="71" t="s">
        <v>6</v>
      </c>
      <c r="BD72" s="74">
        <v>120</v>
      </c>
      <c r="BE72" s="74"/>
      <c r="BF72" s="74"/>
      <c r="BG72" s="111">
        <v>20000</v>
      </c>
      <c r="BH72" s="74" t="s">
        <v>223</v>
      </c>
      <c r="BI72" s="96">
        <f t="shared" si="6"/>
        <v>142857.14285714287</v>
      </c>
      <c r="BJ72" s="111"/>
      <c r="BK72" s="111"/>
      <c r="BL72" s="74">
        <v>0</v>
      </c>
      <c r="BM72" s="74">
        <v>0</v>
      </c>
      <c r="BN72" s="74" t="s">
        <v>222</v>
      </c>
      <c r="BO72" s="74"/>
      <c r="BP72" s="74"/>
      <c r="BQ72" s="104" t="s">
        <v>75</v>
      </c>
      <c r="BR72" s="104" t="s">
        <v>355</v>
      </c>
      <c r="BS72" s="71">
        <f>AD72/100*(44)*8.9</f>
        <v>39455.188080000007</v>
      </c>
      <c r="BT72" s="71">
        <f>AD72/100*(56)*17.79</f>
        <v>100374.96571200002</v>
      </c>
      <c r="BU72" s="71">
        <v>218012.5</v>
      </c>
      <c r="BV72" s="96">
        <f t="shared" si="5"/>
        <v>357842.65379200003</v>
      </c>
      <c r="BW72" s="101">
        <f>BM72*(1-0.25)*(1-0.26)*(1-0.25)*1.2</f>
        <v>0</v>
      </c>
      <c r="BX72" s="101">
        <f>SUBTOTAL(9,BM72,BW72)</f>
        <v>0</v>
      </c>
    </row>
    <row r="73" spans="1:77" customFormat="1" ht="105" x14ac:dyDescent="0.25">
      <c r="A73" s="18" t="s">
        <v>108</v>
      </c>
      <c r="B73" s="5">
        <v>571</v>
      </c>
      <c r="C73" s="8" t="s">
        <v>30</v>
      </c>
      <c r="D73" s="8" t="s">
        <v>5</v>
      </c>
      <c r="E73" s="8" t="s">
        <v>109</v>
      </c>
      <c r="F73" s="8" t="s">
        <v>110</v>
      </c>
      <c r="G73" s="77" t="s">
        <v>214</v>
      </c>
      <c r="H73" s="77" t="s">
        <v>111</v>
      </c>
      <c r="I73" s="8" t="s">
        <v>9</v>
      </c>
      <c r="J73" s="74" t="s">
        <v>9</v>
      </c>
      <c r="K73" s="74" t="s">
        <v>390</v>
      </c>
      <c r="L73" s="90" t="s">
        <v>603</v>
      </c>
      <c r="M73" s="81">
        <v>1548</v>
      </c>
      <c r="N73" s="74" t="s">
        <v>221</v>
      </c>
      <c r="O73" s="74" t="s">
        <v>221</v>
      </c>
      <c r="P73" s="74" t="s">
        <v>221</v>
      </c>
      <c r="Q73" s="81">
        <v>2500</v>
      </c>
      <c r="R73" s="74" t="s">
        <v>223</v>
      </c>
      <c r="S73" s="79"/>
      <c r="T73" s="80"/>
      <c r="U73" s="81">
        <v>15106</v>
      </c>
      <c r="V73" s="81">
        <v>12811</v>
      </c>
      <c r="W73" s="81">
        <v>13530</v>
      </c>
      <c r="X73" s="81">
        <v>11175</v>
      </c>
      <c r="Y73" s="81"/>
      <c r="Z73" s="81"/>
      <c r="AA73" s="81" t="s">
        <v>390</v>
      </c>
      <c r="AB73" s="80" t="s">
        <v>281</v>
      </c>
      <c r="AC73" s="80" t="s">
        <v>75</v>
      </c>
      <c r="AD73" s="80"/>
      <c r="AE73" s="86" t="s">
        <v>281</v>
      </c>
      <c r="AF73" s="80" t="s">
        <v>75</v>
      </c>
      <c r="AG73" s="81" t="s">
        <v>390</v>
      </c>
      <c r="AH73" s="86">
        <v>4</v>
      </c>
      <c r="AI73" s="86">
        <v>120</v>
      </c>
      <c r="AJ73" s="80" t="s">
        <v>222</v>
      </c>
      <c r="AK73" s="80">
        <v>248</v>
      </c>
      <c r="AL73" s="86">
        <v>16000</v>
      </c>
      <c r="AM73" s="86">
        <v>46</v>
      </c>
      <c r="AN73" s="80" t="s">
        <v>222</v>
      </c>
      <c r="AO73" s="74">
        <v>10</v>
      </c>
      <c r="AP73" s="86">
        <v>300</v>
      </c>
      <c r="AQ73" s="80" t="s">
        <v>223</v>
      </c>
      <c r="AR73" s="74">
        <v>33</v>
      </c>
      <c r="AS73" s="86">
        <v>1294</v>
      </c>
      <c r="AT73" s="80" t="s">
        <v>222</v>
      </c>
      <c r="AU73" s="80" t="s">
        <v>221</v>
      </c>
      <c r="AV73" s="80" t="s">
        <v>221</v>
      </c>
      <c r="AW73" s="86" t="s">
        <v>391</v>
      </c>
      <c r="AX73" s="80" t="s">
        <v>6</v>
      </c>
      <c r="AY73" s="88" t="s">
        <v>392</v>
      </c>
      <c r="AZ73" s="74" t="s">
        <v>390</v>
      </c>
      <c r="BA73" s="92" t="s">
        <v>266</v>
      </c>
      <c r="BB73" s="92" t="s">
        <v>266</v>
      </c>
      <c r="BC73" s="71" t="s">
        <v>221</v>
      </c>
      <c r="BD73" s="74">
        <v>51</v>
      </c>
      <c r="BE73" s="74"/>
      <c r="BF73" s="74"/>
      <c r="BG73" s="111">
        <v>954</v>
      </c>
      <c r="BH73" s="74" t="s">
        <v>223</v>
      </c>
      <c r="BI73" s="96">
        <f t="shared" si="6"/>
        <v>6814.2857142857138</v>
      </c>
      <c r="BJ73" s="111"/>
      <c r="BK73" s="111"/>
      <c r="BL73" s="74">
        <v>9</v>
      </c>
      <c r="BM73" s="74">
        <v>6.5</v>
      </c>
      <c r="BN73" s="74" t="s">
        <v>222</v>
      </c>
      <c r="BO73" s="74"/>
      <c r="BP73" s="74"/>
      <c r="BQ73" s="104" t="s">
        <v>393</v>
      </c>
      <c r="BR73" s="104" t="s">
        <v>676</v>
      </c>
      <c r="BS73" s="71">
        <f>AD73/100*(47)*11.29</f>
        <v>0</v>
      </c>
      <c r="BT73" s="71">
        <f>AD73/100*(53)*22.59</f>
        <v>0</v>
      </c>
      <c r="BU73" s="71">
        <v>589491.86624999996</v>
      </c>
      <c r="BV73" s="96">
        <f t="shared" si="5"/>
        <v>589491.86624999996</v>
      </c>
      <c r="BW73" s="101"/>
      <c r="BX73" s="101">
        <f>SUBTOTAL(9,BM73,BW73)</f>
        <v>6.5</v>
      </c>
    </row>
    <row r="74" spans="1:77" customFormat="1" ht="75" x14ac:dyDescent="0.25">
      <c r="A74" s="110" t="s">
        <v>180</v>
      </c>
      <c r="B74" s="5">
        <v>667</v>
      </c>
      <c r="C74" s="8" t="s">
        <v>4</v>
      </c>
      <c r="D74" s="8" t="s">
        <v>5</v>
      </c>
      <c r="E74" s="76" t="s">
        <v>174</v>
      </c>
      <c r="F74" s="76"/>
      <c r="G74" s="77" t="s">
        <v>214</v>
      </c>
      <c r="H74" s="77" t="s">
        <v>6</v>
      </c>
      <c r="I74" s="8" t="s">
        <v>7</v>
      </c>
      <c r="J74" s="74" t="s">
        <v>7</v>
      </c>
      <c r="K74" s="74" t="s">
        <v>526</v>
      </c>
      <c r="L74" s="90" t="s">
        <v>600</v>
      </c>
      <c r="M74" s="81">
        <v>640</v>
      </c>
      <c r="N74" s="74" t="s">
        <v>6</v>
      </c>
      <c r="O74" s="74" t="s">
        <v>221</v>
      </c>
      <c r="P74" s="74" t="s">
        <v>221</v>
      </c>
      <c r="Q74" s="81">
        <v>7205</v>
      </c>
      <c r="R74" s="74" t="s">
        <v>222</v>
      </c>
      <c r="S74" s="79">
        <f>(Q74-AA74)/Q74</f>
        <v>0.4914642609299098</v>
      </c>
      <c r="T74" s="80">
        <f t="shared" ref="T74:T80" si="7">AVERAGE(Q74:Q74)</f>
        <v>7205</v>
      </c>
      <c r="U74" s="81"/>
      <c r="V74" s="81"/>
      <c r="W74" s="81">
        <v>6201</v>
      </c>
      <c r="X74" s="81">
        <v>5923</v>
      </c>
      <c r="Y74" s="81">
        <v>11563</v>
      </c>
      <c r="Z74" s="81"/>
      <c r="AA74" s="81">
        <v>3664</v>
      </c>
      <c r="AB74" s="80">
        <v>6900</v>
      </c>
      <c r="AC74" s="80" t="s">
        <v>223</v>
      </c>
      <c r="AD74" s="80">
        <f>Q74/100*75</f>
        <v>5403.75</v>
      </c>
      <c r="AE74" s="86">
        <v>300</v>
      </c>
      <c r="AF74" s="80" t="s">
        <v>223</v>
      </c>
      <c r="AG74" s="81" t="s">
        <v>75</v>
      </c>
      <c r="AH74" s="86">
        <v>1</v>
      </c>
      <c r="AI74" s="86">
        <v>100</v>
      </c>
      <c r="AJ74" s="80" t="s">
        <v>223</v>
      </c>
      <c r="AK74" s="80">
        <v>0</v>
      </c>
      <c r="AL74" s="86" t="s">
        <v>75</v>
      </c>
      <c r="AM74" s="86">
        <v>1</v>
      </c>
      <c r="AN74" s="80" t="s">
        <v>222</v>
      </c>
      <c r="AO74" s="74">
        <v>1</v>
      </c>
      <c r="AP74" s="86">
        <v>6</v>
      </c>
      <c r="AQ74" s="80" t="s">
        <v>223</v>
      </c>
      <c r="AR74" s="74">
        <v>2</v>
      </c>
      <c r="AS74" s="86">
        <v>100</v>
      </c>
      <c r="AT74" s="80" t="s">
        <v>223</v>
      </c>
      <c r="AU74" s="80" t="s">
        <v>6</v>
      </c>
      <c r="AV74" s="80" t="s">
        <v>6</v>
      </c>
      <c r="AW74" s="86">
        <v>8000</v>
      </c>
      <c r="AX74" s="80" t="s">
        <v>6</v>
      </c>
      <c r="AY74" s="88" t="s">
        <v>356</v>
      </c>
      <c r="AZ74" s="74" t="s">
        <v>6</v>
      </c>
      <c r="BA74" s="92">
        <v>3.5</v>
      </c>
      <c r="BB74" s="92" t="s">
        <v>644</v>
      </c>
      <c r="BC74" s="71" t="s">
        <v>221</v>
      </c>
      <c r="BD74" s="74">
        <v>40</v>
      </c>
      <c r="BE74" s="74"/>
      <c r="BF74" s="74">
        <v>40</v>
      </c>
      <c r="BG74" s="111">
        <v>5600</v>
      </c>
      <c r="BH74" s="74" t="s">
        <v>223</v>
      </c>
      <c r="BI74" s="96">
        <f t="shared" si="6"/>
        <v>40000</v>
      </c>
      <c r="BJ74" s="111"/>
      <c r="BK74" s="111">
        <v>5592</v>
      </c>
      <c r="BL74" s="74">
        <v>1</v>
      </c>
      <c r="BM74" s="74">
        <v>0.1</v>
      </c>
      <c r="BN74" s="74" t="s">
        <v>223</v>
      </c>
      <c r="BO74" s="74">
        <v>1</v>
      </c>
      <c r="BP74" s="74">
        <v>0.1</v>
      </c>
      <c r="BQ74" s="104" t="s">
        <v>357</v>
      </c>
      <c r="BR74" s="104" t="s">
        <v>358</v>
      </c>
      <c r="BS74" s="71">
        <f>AD74/100*(47)*12.86</f>
        <v>32661.34575</v>
      </c>
      <c r="BT74" s="71">
        <f>AD74/100*(53)*25.73</f>
        <v>73690.398375000004</v>
      </c>
      <c r="BU74" s="71">
        <v>19365.9025</v>
      </c>
      <c r="BV74" s="96">
        <f t="shared" si="5"/>
        <v>125717.64662499999</v>
      </c>
      <c r="BW74" s="101">
        <f>BM74*(1-0.25)*(1-0.21)*(1-0.25)*1.2</f>
        <v>5.3325000000000004E-2</v>
      </c>
      <c r="BX74" s="101">
        <f>SUBTOTAL(9,BM74,BW74)</f>
        <v>0.15332500000000002</v>
      </c>
    </row>
    <row r="75" spans="1:77" customFormat="1" ht="75" x14ac:dyDescent="0.25">
      <c r="A75" s="110" t="s">
        <v>176</v>
      </c>
      <c r="B75" s="5">
        <v>581</v>
      </c>
      <c r="C75" s="8" t="s">
        <v>4</v>
      </c>
      <c r="D75" s="8" t="s">
        <v>5</v>
      </c>
      <c r="E75" s="76" t="s">
        <v>174</v>
      </c>
      <c r="F75" s="76"/>
      <c r="G75" s="77" t="s">
        <v>6</v>
      </c>
      <c r="H75" s="77" t="s">
        <v>6</v>
      </c>
      <c r="I75" s="8" t="s">
        <v>7</v>
      </c>
      <c r="J75" s="74" t="s">
        <v>7</v>
      </c>
      <c r="K75" s="74" t="s">
        <v>526</v>
      </c>
      <c r="L75" s="90" t="s">
        <v>600</v>
      </c>
      <c r="M75" s="81">
        <v>1435</v>
      </c>
      <c r="N75" s="74" t="s">
        <v>6</v>
      </c>
      <c r="O75" s="74" t="s">
        <v>6</v>
      </c>
      <c r="P75" s="74" t="s">
        <v>221</v>
      </c>
      <c r="Q75" s="81">
        <v>8000</v>
      </c>
      <c r="R75" s="74" t="s">
        <v>223</v>
      </c>
      <c r="S75" s="79">
        <f>(Q75-AA75)/Q75</f>
        <v>-5.7750000000000003E-2</v>
      </c>
      <c r="T75" s="80">
        <f t="shared" si="7"/>
        <v>8000</v>
      </c>
      <c r="U75" s="81">
        <v>11072</v>
      </c>
      <c r="V75" s="81">
        <v>13654</v>
      </c>
      <c r="W75" s="81">
        <v>13204</v>
      </c>
      <c r="X75" s="81">
        <v>13574</v>
      </c>
      <c r="Y75" s="81">
        <v>5100</v>
      </c>
      <c r="Z75" s="81">
        <v>9036</v>
      </c>
      <c r="AA75" s="81">
        <v>8462</v>
      </c>
      <c r="AB75" s="80">
        <v>6000</v>
      </c>
      <c r="AC75" s="80" t="s">
        <v>223</v>
      </c>
      <c r="AD75" s="80">
        <f>Q75/100*75</f>
        <v>6000</v>
      </c>
      <c r="AE75" s="86">
        <v>2000</v>
      </c>
      <c r="AF75" s="80" t="s">
        <v>223</v>
      </c>
      <c r="AG75" s="81" t="s">
        <v>359</v>
      </c>
      <c r="AH75" s="86">
        <v>20</v>
      </c>
      <c r="AI75" s="86">
        <v>1348</v>
      </c>
      <c r="AJ75" s="80" t="s">
        <v>222</v>
      </c>
      <c r="AK75" s="80">
        <v>10</v>
      </c>
      <c r="AL75" s="86">
        <v>759</v>
      </c>
      <c r="AM75" s="86">
        <v>7</v>
      </c>
      <c r="AN75" s="80" t="s">
        <v>222</v>
      </c>
      <c r="AO75" s="74">
        <v>22</v>
      </c>
      <c r="AP75" s="86">
        <v>850</v>
      </c>
      <c r="AQ75" s="80" t="s">
        <v>223</v>
      </c>
      <c r="AR75" s="74">
        <v>10</v>
      </c>
      <c r="AS75" s="86">
        <v>700</v>
      </c>
      <c r="AT75" s="80" t="s">
        <v>223</v>
      </c>
      <c r="AU75" s="80" t="s">
        <v>6</v>
      </c>
      <c r="AV75" s="80" t="s">
        <v>6</v>
      </c>
      <c r="AW75" s="86" t="s">
        <v>75</v>
      </c>
      <c r="AX75" s="80" t="s">
        <v>6</v>
      </c>
      <c r="AY75" s="88">
        <v>3</v>
      </c>
      <c r="AZ75" s="74" t="s">
        <v>6</v>
      </c>
      <c r="BA75" s="92">
        <v>6.5</v>
      </c>
      <c r="BB75" s="92">
        <v>3.5</v>
      </c>
      <c r="BC75" s="71" t="s">
        <v>221</v>
      </c>
      <c r="BD75" s="74" t="s">
        <v>75</v>
      </c>
      <c r="BE75" s="74">
        <v>114</v>
      </c>
      <c r="BF75" s="74">
        <v>151</v>
      </c>
      <c r="BG75" s="111" t="s">
        <v>75</v>
      </c>
      <c r="BH75" s="74" t="s">
        <v>75</v>
      </c>
      <c r="BI75" s="96"/>
      <c r="BJ75" s="111">
        <v>5200</v>
      </c>
      <c r="BK75" s="111">
        <v>6913</v>
      </c>
      <c r="BL75" s="74">
        <v>8</v>
      </c>
      <c r="BM75" s="74">
        <v>5.4</v>
      </c>
      <c r="BN75" s="74" t="s">
        <v>222</v>
      </c>
      <c r="BO75" s="74">
        <v>5</v>
      </c>
      <c r="BP75" s="74">
        <v>3.8</v>
      </c>
      <c r="BQ75" s="104" t="s">
        <v>360</v>
      </c>
      <c r="BR75" s="104" t="s">
        <v>361</v>
      </c>
      <c r="BS75" s="71">
        <f>AD75/100*(47)*12.86</f>
        <v>36265.199999999997</v>
      </c>
      <c r="BT75" s="71">
        <f>AD75/100*(53)*25.73</f>
        <v>81821.399999999994</v>
      </c>
      <c r="BU75" s="71">
        <v>91678.396249999991</v>
      </c>
      <c r="BV75" s="96">
        <f t="shared" si="5"/>
        <v>209764.99624999997</v>
      </c>
      <c r="BW75" s="101">
        <f>BM75*(1-0.25)*(1-0.21)*(1-0.25)*1.2</f>
        <v>2.8795500000000009</v>
      </c>
      <c r="BX75" s="101">
        <f>SUBTOTAL(9,BM75,BW75)</f>
        <v>8.2795500000000004</v>
      </c>
    </row>
    <row r="76" spans="1:77" customFormat="1" ht="30" x14ac:dyDescent="0.25">
      <c r="A76" s="110" t="s">
        <v>198</v>
      </c>
      <c r="B76" s="5">
        <v>1822</v>
      </c>
      <c r="C76" s="8" t="s">
        <v>4</v>
      </c>
      <c r="D76" s="8" t="s">
        <v>5</v>
      </c>
      <c r="E76" s="76" t="s">
        <v>174</v>
      </c>
      <c r="F76" s="76"/>
      <c r="G76" s="77"/>
      <c r="H76" s="77" t="s">
        <v>6</v>
      </c>
      <c r="I76" s="8" t="s">
        <v>7</v>
      </c>
      <c r="J76" s="74"/>
      <c r="K76" s="74"/>
      <c r="L76" s="90"/>
      <c r="M76" s="81"/>
      <c r="N76" s="74"/>
      <c r="O76" s="74"/>
      <c r="P76" s="74"/>
      <c r="Q76" s="81"/>
      <c r="R76" s="72"/>
      <c r="S76" s="79"/>
      <c r="T76" s="80" t="e">
        <f t="shared" si="7"/>
        <v>#DIV/0!</v>
      </c>
      <c r="U76" s="81">
        <v>4451</v>
      </c>
      <c r="V76" s="81">
        <v>823</v>
      </c>
      <c r="W76" s="81">
        <v>7315</v>
      </c>
      <c r="X76" s="81">
        <v>5688</v>
      </c>
      <c r="Y76" s="81">
        <v>8793</v>
      </c>
      <c r="Z76" s="81">
        <v>4485</v>
      </c>
      <c r="AA76" s="81">
        <v>3914</v>
      </c>
      <c r="AB76" s="80"/>
      <c r="AC76" s="80"/>
      <c r="AD76" s="80"/>
      <c r="AE76" s="86"/>
      <c r="AF76" s="80"/>
      <c r="AG76" s="81"/>
      <c r="AH76" s="86"/>
      <c r="AI76" s="86"/>
      <c r="AJ76" s="80"/>
      <c r="AK76" s="80"/>
      <c r="AL76" s="86"/>
      <c r="AM76" s="86"/>
      <c r="AN76" s="80"/>
      <c r="AO76" s="74"/>
      <c r="AP76" s="86"/>
      <c r="AQ76" s="80"/>
      <c r="AR76" s="74"/>
      <c r="AS76" s="86"/>
      <c r="AT76" s="80"/>
      <c r="AU76" s="80" t="s">
        <v>6</v>
      </c>
      <c r="AV76" s="80"/>
      <c r="AW76" s="86"/>
      <c r="AX76" s="80"/>
      <c r="AY76" s="88"/>
      <c r="AZ76" s="74" t="s">
        <v>214</v>
      </c>
      <c r="BA76" s="92">
        <v>2</v>
      </c>
      <c r="BB76" s="92">
        <v>0.5</v>
      </c>
      <c r="BC76" s="71"/>
      <c r="BD76" s="72"/>
      <c r="BE76" s="72">
        <v>34</v>
      </c>
      <c r="BF76" s="72">
        <v>25</v>
      </c>
      <c r="BG76" s="111"/>
      <c r="BH76" s="72"/>
      <c r="BI76" s="96">
        <f>BG76/7*50</f>
        <v>0</v>
      </c>
      <c r="BJ76" s="111">
        <v>5000</v>
      </c>
      <c r="BK76" s="111">
        <v>5118</v>
      </c>
      <c r="BL76" s="72"/>
      <c r="BM76" s="72"/>
      <c r="BN76" s="72"/>
      <c r="BO76" s="74">
        <v>25</v>
      </c>
      <c r="BP76" s="74">
        <v>0.6</v>
      </c>
      <c r="BQ76" s="104"/>
      <c r="BR76" s="104"/>
      <c r="BS76" s="71"/>
      <c r="BT76" s="71"/>
      <c r="BU76" s="71"/>
      <c r="BV76" s="96">
        <f t="shared" si="5"/>
        <v>0</v>
      </c>
      <c r="BW76" s="101"/>
      <c r="BX76" s="101"/>
    </row>
    <row r="77" spans="1:77" customFormat="1" ht="75" x14ac:dyDescent="0.25">
      <c r="A77" s="110" t="s">
        <v>173</v>
      </c>
      <c r="B77" s="5">
        <v>136</v>
      </c>
      <c r="C77" s="8" t="s">
        <v>4</v>
      </c>
      <c r="D77" s="8" t="s">
        <v>5</v>
      </c>
      <c r="E77" s="76" t="s">
        <v>174</v>
      </c>
      <c r="F77" s="76"/>
      <c r="G77" s="77" t="s">
        <v>6</v>
      </c>
      <c r="H77" s="77" t="s">
        <v>6</v>
      </c>
      <c r="I77" s="8" t="s">
        <v>7</v>
      </c>
      <c r="J77" s="74" t="s">
        <v>7</v>
      </c>
      <c r="K77" s="74" t="s">
        <v>526</v>
      </c>
      <c r="L77" s="90" t="s">
        <v>600</v>
      </c>
      <c r="M77" s="81">
        <v>900</v>
      </c>
      <c r="N77" s="74" t="s">
        <v>6</v>
      </c>
      <c r="O77" s="74" t="s">
        <v>221</v>
      </c>
      <c r="P77" s="74" t="s">
        <v>221</v>
      </c>
      <c r="Q77" s="81">
        <v>9194</v>
      </c>
      <c r="R77" s="74" t="s">
        <v>222</v>
      </c>
      <c r="S77" s="79">
        <f>(Q77-AA77)/Q77</f>
        <v>8.2227539699804217E-2</v>
      </c>
      <c r="T77" s="80">
        <f t="shared" si="7"/>
        <v>9194</v>
      </c>
      <c r="U77" s="81">
        <v>7389</v>
      </c>
      <c r="V77" s="81">
        <v>9013</v>
      </c>
      <c r="W77" s="81">
        <v>8558</v>
      </c>
      <c r="X77" s="81">
        <v>9439</v>
      </c>
      <c r="Y77" s="81">
        <v>5260</v>
      </c>
      <c r="Z77" s="81">
        <v>9284</v>
      </c>
      <c r="AA77" s="81">
        <v>8438</v>
      </c>
      <c r="AB77" s="80">
        <v>7032</v>
      </c>
      <c r="AC77" s="80" t="s">
        <v>222</v>
      </c>
      <c r="AD77" s="80">
        <f>Q77/100*75</f>
        <v>6895.5</v>
      </c>
      <c r="AE77" s="86">
        <v>2162</v>
      </c>
      <c r="AF77" s="80" t="s">
        <v>222</v>
      </c>
      <c r="AG77" s="81" t="s">
        <v>362</v>
      </c>
      <c r="AH77" s="86">
        <v>2</v>
      </c>
      <c r="AI77" s="86">
        <v>125</v>
      </c>
      <c r="AJ77" s="80" t="s">
        <v>223</v>
      </c>
      <c r="AK77" s="80">
        <v>2</v>
      </c>
      <c r="AL77" s="86">
        <v>75</v>
      </c>
      <c r="AM77" s="86">
        <v>2</v>
      </c>
      <c r="AN77" s="80" t="s">
        <v>223</v>
      </c>
      <c r="AO77" s="74">
        <v>2</v>
      </c>
      <c r="AP77" s="86">
        <v>150</v>
      </c>
      <c r="AQ77" s="80" t="s">
        <v>223</v>
      </c>
      <c r="AR77" s="74">
        <v>0</v>
      </c>
      <c r="AS77" s="86" t="s">
        <v>75</v>
      </c>
      <c r="AT77" s="80" t="s">
        <v>222</v>
      </c>
      <c r="AU77" s="80" t="s">
        <v>6</v>
      </c>
      <c r="AV77" s="80" t="s">
        <v>6</v>
      </c>
      <c r="AW77" s="86">
        <v>15481</v>
      </c>
      <c r="AX77" s="80" t="s">
        <v>6</v>
      </c>
      <c r="AY77" s="88" t="s">
        <v>363</v>
      </c>
      <c r="AZ77" s="74" t="s">
        <v>221</v>
      </c>
      <c r="BA77" s="92" t="s">
        <v>266</v>
      </c>
      <c r="BB77" s="92" t="s">
        <v>266</v>
      </c>
      <c r="BC77" s="71" t="s">
        <v>221</v>
      </c>
      <c r="BD77" s="74">
        <v>46</v>
      </c>
      <c r="BE77" s="74">
        <v>30</v>
      </c>
      <c r="BF77" s="74">
        <v>36</v>
      </c>
      <c r="BG77" s="111">
        <v>2400</v>
      </c>
      <c r="BH77" s="74" t="s">
        <v>223</v>
      </c>
      <c r="BI77" s="96">
        <f>BG77/7*50</f>
        <v>17142.857142857141</v>
      </c>
      <c r="BJ77" s="111">
        <v>1500</v>
      </c>
      <c r="BK77" s="111">
        <v>951</v>
      </c>
      <c r="BL77" s="74">
        <v>0</v>
      </c>
      <c r="BM77" s="74">
        <v>0</v>
      </c>
      <c r="BN77" s="74" t="s">
        <v>222</v>
      </c>
      <c r="BO77" s="74">
        <v>0</v>
      </c>
      <c r="BP77" s="74">
        <v>0</v>
      </c>
      <c r="BQ77" s="104" t="s">
        <v>364</v>
      </c>
      <c r="BR77" s="104" t="s">
        <v>365</v>
      </c>
      <c r="BS77" s="71">
        <f>AD77/100*(47)*12.86</f>
        <v>41677.781099999993</v>
      </c>
      <c r="BT77" s="71">
        <f>AD77/100*(53)*25.73</f>
        <v>94033.243949999989</v>
      </c>
      <c r="BU77" s="71">
        <v>9778.125</v>
      </c>
      <c r="BV77" s="96">
        <f t="shared" si="5"/>
        <v>145489.15005</v>
      </c>
      <c r="BW77" s="101">
        <f>BM77*(1-0.25)*(1-0.21)*(1-0.25)*1.2</f>
        <v>0</v>
      </c>
      <c r="BX77" s="101">
        <f>SUBTOTAL(9,BM77,BW77)</f>
        <v>0</v>
      </c>
    </row>
    <row r="78" spans="1:77" customFormat="1" ht="240" x14ac:dyDescent="0.25">
      <c r="A78" s="110" t="s">
        <v>127</v>
      </c>
      <c r="B78" s="5">
        <v>910</v>
      </c>
      <c r="C78" s="8" t="s">
        <v>4</v>
      </c>
      <c r="D78" s="8" t="s">
        <v>5</v>
      </c>
      <c r="E78" s="8" t="s">
        <v>109</v>
      </c>
      <c r="F78" s="8"/>
      <c r="G78" s="77" t="s">
        <v>6</v>
      </c>
      <c r="H78" s="77" t="s">
        <v>6</v>
      </c>
      <c r="I78" s="8" t="s">
        <v>9</v>
      </c>
      <c r="J78" s="74" t="s">
        <v>9</v>
      </c>
      <c r="K78" s="74" t="s">
        <v>526</v>
      </c>
      <c r="L78" s="90" t="s">
        <v>599</v>
      </c>
      <c r="M78" s="81">
        <v>1262</v>
      </c>
      <c r="N78" s="74" t="s">
        <v>6</v>
      </c>
      <c r="O78" s="74" t="s">
        <v>221</v>
      </c>
      <c r="P78" s="74" t="s">
        <v>221</v>
      </c>
      <c r="Q78" s="81">
        <v>6191</v>
      </c>
      <c r="R78" s="74" t="s">
        <v>222</v>
      </c>
      <c r="S78" s="79">
        <f>(Q78-AA78)/Q78</f>
        <v>-1.0793086738814408</v>
      </c>
      <c r="T78" s="80">
        <f t="shared" si="7"/>
        <v>6191</v>
      </c>
      <c r="U78" s="81">
        <v>9602</v>
      </c>
      <c r="V78" s="81">
        <v>10582</v>
      </c>
      <c r="W78" s="81">
        <v>10581</v>
      </c>
      <c r="X78" s="81">
        <v>8731</v>
      </c>
      <c r="Y78" s="81">
        <v>5260</v>
      </c>
      <c r="Z78" s="81">
        <v>5796</v>
      </c>
      <c r="AA78" s="81">
        <v>12873</v>
      </c>
      <c r="AB78" s="80">
        <v>4707</v>
      </c>
      <c r="AC78" s="80" t="s">
        <v>222</v>
      </c>
      <c r="AD78" s="80">
        <f>Q78/100*75</f>
        <v>4643.25</v>
      </c>
      <c r="AE78" s="86">
        <v>1484</v>
      </c>
      <c r="AF78" s="80" t="s">
        <v>222</v>
      </c>
      <c r="AG78" s="81" t="s">
        <v>75</v>
      </c>
      <c r="AH78" s="86">
        <v>5</v>
      </c>
      <c r="AI78" s="86">
        <v>119</v>
      </c>
      <c r="AJ78" s="80" t="s">
        <v>222</v>
      </c>
      <c r="AK78" s="80">
        <v>157</v>
      </c>
      <c r="AL78" s="86">
        <v>4421</v>
      </c>
      <c r="AM78" s="86">
        <v>30</v>
      </c>
      <c r="AN78" s="80" t="s">
        <v>222</v>
      </c>
      <c r="AO78" s="74">
        <v>21</v>
      </c>
      <c r="AP78" s="86">
        <v>935</v>
      </c>
      <c r="AQ78" s="80" t="s">
        <v>223</v>
      </c>
      <c r="AR78" s="74">
        <v>7</v>
      </c>
      <c r="AS78" s="86">
        <v>519</v>
      </c>
      <c r="AT78" s="80" t="s">
        <v>222</v>
      </c>
      <c r="AU78" s="80" t="s">
        <v>6</v>
      </c>
      <c r="AV78" s="80" t="s">
        <v>6</v>
      </c>
      <c r="AW78" s="86">
        <v>11969</v>
      </c>
      <c r="AX78" s="80" t="s">
        <v>6</v>
      </c>
      <c r="AY78" s="88">
        <v>57439</v>
      </c>
      <c r="AZ78" s="74" t="s">
        <v>221</v>
      </c>
      <c r="BA78" s="92" t="s">
        <v>266</v>
      </c>
      <c r="BB78" s="92" t="s">
        <v>266</v>
      </c>
      <c r="BC78" s="71" t="s">
        <v>221</v>
      </c>
      <c r="BD78" s="74">
        <v>13</v>
      </c>
      <c r="BE78" s="74">
        <v>12</v>
      </c>
      <c r="BF78" s="74">
        <v>7</v>
      </c>
      <c r="BG78" s="111">
        <v>720</v>
      </c>
      <c r="BH78" s="74" t="s">
        <v>222</v>
      </c>
      <c r="BI78" s="96">
        <f>BG78/7*50</f>
        <v>5142.8571428571431</v>
      </c>
      <c r="BJ78" s="111">
        <v>2496</v>
      </c>
      <c r="BK78" s="111">
        <v>710</v>
      </c>
      <c r="BL78" s="74">
        <v>5</v>
      </c>
      <c r="BM78" s="74">
        <v>1.5</v>
      </c>
      <c r="BN78" s="74" t="s">
        <v>222</v>
      </c>
      <c r="BO78" s="74">
        <v>5</v>
      </c>
      <c r="BP78" s="74">
        <v>1.5</v>
      </c>
      <c r="BQ78" s="104" t="s">
        <v>313</v>
      </c>
      <c r="BR78" s="104" t="s">
        <v>314</v>
      </c>
      <c r="BS78" s="71">
        <f>AD78/100*(47)*11.29</f>
        <v>24638.477474999996</v>
      </c>
      <c r="BT78" s="71">
        <f>AD78/100*(53)*22.59</f>
        <v>55592.239274999993</v>
      </c>
      <c r="BU78" s="71">
        <v>46731.614999999998</v>
      </c>
      <c r="BV78" s="96">
        <f t="shared" si="5"/>
        <v>126962.33174999998</v>
      </c>
      <c r="BW78" s="101">
        <f>BM78*(1-0.25)*(1-0.21)*(1-0.25)*1.2</f>
        <v>0.799875</v>
      </c>
      <c r="BX78" s="101">
        <f>SUBTOTAL(9,BM78,BW78)</f>
        <v>2.2998750000000001</v>
      </c>
    </row>
    <row r="79" spans="1:77" customFormat="1" ht="75" x14ac:dyDescent="0.25">
      <c r="A79" s="113" t="s">
        <v>104</v>
      </c>
      <c r="B79" s="5" t="s">
        <v>521</v>
      </c>
      <c r="C79" s="8" t="s">
        <v>63</v>
      </c>
      <c r="D79" s="8" t="s">
        <v>5</v>
      </c>
      <c r="E79" s="8" t="s">
        <v>68</v>
      </c>
      <c r="F79" s="8"/>
      <c r="G79" s="77" t="s">
        <v>6</v>
      </c>
      <c r="H79" s="77" t="s">
        <v>6</v>
      </c>
      <c r="I79" s="74" t="s">
        <v>7</v>
      </c>
      <c r="J79" s="74" t="s">
        <v>7</v>
      </c>
      <c r="K79" s="74" t="s">
        <v>526</v>
      </c>
      <c r="L79" s="90" t="s">
        <v>600</v>
      </c>
      <c r="M79" s="81">
        <v>510</v>
      </c>
      <c r="N79" s="74" t="s">
        <v>6</v>
      </c>
      <c r="O79" s="74" t="s">
        <v>221</v>
      </c>
      <c r="P79" s="74" t="s">
        <v>221</v>
      </c>
      <c r="Q79" s="81">
        <v>2307</v>
      </c>
      <c r="R79" s="74" t="s">
        <v>222</v>
      </c>
      <c r="S79" s="79">
        <f>(Q79-AA79)/Q79</f>
        <v>-0.21153012570437799</v>
      </c>
      <c r="T79" s="80">
        <f t="shared" si="7"/>
        <v>2307</v>
      </c>
      <c r="U79" s="81">
        <v>2491</v>
      </c>
      <c r="V79" s="81">
        <v>2889</v>
      </c>
      <c r="W79" s="81">
        <v>2092</v>
      </c>
      <c r="X79" s="81">
        <v>1345</v>
      </c>
      <c r="Y79" s="81">
        <v>1750</v>
      </c>
      <c r="Z79" s="81"/>
      <c r="AA79" s="81">
        <v>2795</v>
      </c>
      <c r="AB79" s="80">
        <v>2011</v>
      </c>
      <c r="AC79" s="80" t="s">
        <v>222</v>
      </c>
      <c r="AD79" s="80">
        <f>Q79/100*75</f>
        <v>1730.25</v>
      </c>
      <c r="AE79" s="86">
        <v>296</v>
      </c>
      <c r="AF79" s="80" t="s">
        <v>222</v>
      </c>
      <c r="AG79" s="81" t="s">
        <v>221</v>
      </c>
      <c r="AH79" s="86">
        <v>1</v>
      </c>
      <c r="AI79" s="86">
        <v>75</v>
      </c>
      <c r="AJ79" s="80" t="s">
        <v>222</v>
      </c>
      <c r="AK79" s="80">
        <v>1</v>
      </c>
      <c r="AL79" s="86">
        <v>27</v>
      </c>
      <c r="AM79" s="86">
        <v>2</v>
      </c>
      <c r="AN79" s="80" t="s">
        <v>222</v>
      </c>
      <c r="AO79" s="74">
        <v>8</v>
      </c>
      <c r="AP79" s="86">
        <v>138</v>
      </c>
      <c r="AQ79" s="80" t="s">
        <v>222</v>
      </c>
      <c r="AR79" s="74">
        <v>1</v>
      </c>
      <c r="AS79" s="86">
        <v>23</v>
      </c>
      <c r="AT79" s="80" t="s">
        <v>222</v>
      </c>
      <c r="AU79" s="80" t="s">
        <v>6</v>
      </c>
      <c r="AV79" s="80" t="s">
        <v>6</v>
      </c>
      <c r="AW79" s="86">
        <v>3154</v>
      </c>
      <c r="AX79" s="80" t="s">
        <v>6</v>
      </c>
      <c r="AY79" s="88">
        <v>1215</v>
      </c>
      <c r="AZ79" s="74" t="s">
        <v>6</v>
      </c>
      <c r="BA79" s="92">
        <v>2</v>
      </c>
      <c r="BB79" s="92">
        <v>0.5</v>
      </c>
      <c r="BC79" s="71" t="s">
        <v>221</v>
      </c>
      <c r="BD79" s="74">
        <v>40</v>
      </c>
      <c r="BE79" s="74"/>
      <c r="BF79" s="74">
        <v>50</v>
      </c>
      <c r="BG79" s="111">
        <v>1012</v>
      </c>
      <c r="BH79" s="74" t="s">
        <v>222</v>
      </c>
      <c r="BI79" s="96">
        <f>BG79/7*50</f>
        <v>7228.5714285714294</v>
      </c>
      <c r="BJ79" s="111"/>
      <c r="BK79" s="111" t="s">
        <v>501</v>
      </c>
      <c r="BL79" s="74">
        <v>0</v>
      </c>
      <c r="BM79" s="74">
        <v>0</v>
      </c>
      <c r="BN79" s="74" t="s">
        <v>222</v>
      </c>
      <c r="BO79" s="74" t="s">
        <v>75</v>
      </c>
      <c r="BP79" s="74" t="s">
        <v>75</v>
      </c>
      <c r="BQ79" s="104" t="s">
        <v>366</v>
      </c>
      <c r="BR79" s="104" t="s">
        <v>367</v>
      </c>
      <c r="BS79" s="71">
        <f>AD79/100*(47)*12.91</f>
        <v>10498.637924999999</v>
      </c>
      <c r="BT79" s="71">
        <f>AD79/100*(53)*25.82</f>
        <v>23677.779149999998</v>
      </c>
      <c r="BU79" s="71">
        <v>6631.8633499999996</v>
      </c>
      <c r="BV79" s="96">
        <f t="shared" si="5"/>
        <v>40808.280424999997</v>
      </c>
      <c r="BW79" s="101">
        <f>BM79*(1-0.25)*(1-0.21)*(1-0.25)*1.2</f>
        <v>0</v>
      </c>
      <c r="BX79" s="101">
        <f>SUBTOTAL(9,BM79,BW79)</f>
        <v>0</v>
      </c>
    </row>
    <row r="80" spans="1:77" customFormat="1" ht="30" x14ac:dyDescent="0.25">
      <c r="A80" s="110" t="s">
        <v>32</v>
      </c>
      <c r="B80" s="5">
        <v>672</v>
      </c>
      <c r="C80" s="8" t="s">
        <v>4</v>
      </c>
      <c r="D80" s="8" t="s">
        <v>5</v>
      </c>
      <c r="E80" s="95" t="s">
        <v>25</v>
      </c>
      <c r="F80" s="78"/>
      <c r="G80" s="77" t="s">
        <v>6</v>
      </c>
      <c r="H80" s="77" t="s">
        <v>6</v>
      </c>
      <c r="I80" s="8" t="s">
        <v>7</v>
      </c>
      <c r="J80" s="74" t="s">
        <v>7</v>
      </c>
      <c r="K80" s="74" t="s">
        <v>526</v>
      </c>
      <c r="L80" s="90" t="s">
        <v>599</v>
      </c>
      <c r="M80" s="81">
        <v>550</v>
      </c>
      <c r="N80" s="74" t="s">
        <v>221</v>
      </c>
      <c r="O80" s="74" t="s">
        <v>221</v>
      </c>
      <c r="P80" s="74" t="s">
        <v>221</v>
      </c>
      <c r="Q80" s="81">
        <v>3361</v>
      </c>
      <c r="R80" s="74" t="s">
        <v>222</v>
      </c>
      <c r="S80" s="79">
        <f>(Q80-AA80)/Q80</f>
        <v>0.17762570663493008</v>
      </c>
      <c r="T80" s="80">
        <f t="shared" si="7"/>
        <v>3361</v>
      </c>
      <c r="U80" s="81">
        <v>3332</v>
      </c>
      <c r="V80" s="81">
        <v>3028</v>
      </c>
      <c r="W80" s="81">
        <v>3694</v>
      </c>
      <c r="X80" s="81">
        <v>2748</v>
      </c>
      <c r="Y80" s="81">
        <v>3372</v>
      </c>
      <c r="Z80" s="81">
        <v>3842</v>
      </c>
      <c r="AA80" s="81">
        <v>2764</v>
      </c>
      <c r="AB80" s="80">
        <v>2240</v>
      </c>
      <c r="AC80" s="80" t="s">
        <v>223</v>
      </c>
      <c r="AD80" s="80">
        <f>Q80/100*75</f>
        <v>2520.75</v>
      </c>
      <c r="AE80" s="86">
        <v>1121</v>
      </c>
      <c r="AF80" s="80" t="s">
        <v>223</v>
      </c>
      <c r="AG80" s="81" t="s">
        <v>295</v>
      </c>
      <c r="AH80" s="86">
        <v>12</v>
      </c>
      <c r="AI80" s="86">
        <v>170</v>
      </c>
      <c r="AJ80" s="80" t="s">
        <v>223</v>
      </c>
      <c r="AK80" s="80">
        <v>14</v>
      </c>
      <c r="AL80" s="86" t="s">
        <v>323</v>
      </c>
      <c r="AM80" s="86">
        <v>4</v>
      </c>
      <c r="AN80" s="80" t="s">
        <v>222</v>
      </c>
      <c r="AO80" s="74">
        <v>8</v>
      </c>
      <c r="AP80" s="86">
        <v>78</v>
      </c>
      <c r="AQ80" s="80" t="s">
        <v>223</v>
      </c>
      <c r="AR80" s="74">
        <v>9</v>
      </c>
      <c r="AS80" s="86">
        <v>272</v>
      </c>
      <c r="AT80" s="80" t="s">
        <v>222</v>
      </c>
      <c r="AU80" s="80" t="s">
        <v>6</v>
      </c>
      <c r="AV80" s="80" t="s">
        <v>6</v>
      </c>
      <c r="AW80" s="86" t="s">
        <v>307</v>
      </c>
      <c r="AX80" s="80" t="s">
        <v>6</v>
      </c>
      <c r="AY80" s="88" t="s">
        <v>75</v>
      </c>
      <c r="AZ80" s="74" t="s">
        <v>221</v>
      </c>
      <c r="BA80" s="92" t="s">
        <v>266</v>
      </c>
      <c r="BB80" s="92" t="s">
        <v>266</v>
      </c>
      <c r="BC80" s="71" t="s">
        <v>221</v>
      </c>
      <c r="BD80" s="74">
        <v>35</v>
      </c>
      <c r="BE80" s="74">
        <v>38</v>
      </c>
      <c r="BF80" s="74">
        <v>53</v>
      </c>
      <c r="BG80" s="111">
        <v>4232</v>
      </c>
      <c r="BH80" s="74" t="s">
        <v>222</v>
      </c>
      <c r="BI80" s="96">
        <f>BG80/7*50</f>
        <v>30228.571428571428</v>
      </c>
      <c r="BJ80" s="111">
        <v>5968</v>
      </c>
      <c r="BK80" s="111">
        <v>6000</v>
      </c>
      <c r="BL80" s="74">
        <v>0</v>
      </c>
      <c r="BM80" s="74">
        <v>0</v>
      </c>
      <c r="BN80" s="74" t="s">
        <v>222</v>
      </c>
      <c r="BO80" s="74">
        <v>0</v>
      </c>
      <c r="BP80" s="74">
        <v>0</v>
      </c>
      <c r="BQ80" s="104" t="s">
        <v>368</v>
      </c>
      <c r="BR80" s="104" t="s">
        <v>369</v>
      </c>
      <c r="BS80" s="71">
        <f>AD80/100*(47)*17.99</f>
        <v>21313.697475000001</v>
      </c>
      <c r="BT80" s="71">
        <f>AD80/100*(53)*35.98</f>
        <v>48069.190049999997</v>
      </c>
      <c r="BU80" s="71"/>
      <c r="BV80" s="96">
        <f t="shared" si="5"/>
        <v>69382.887524999998</v>
      </c>
      <c r="BW80" s="101">
        <f>BM80*(1-0.25)*(1-0.21)*(1-0.25)*1.2</f>
        <v>0</v>
      </c>
      <c r="BX80" s="101">
        <f>SUBTOTAL(9,BM80,BW80)</f>
        <v>0</v>
      </c>
    </row>
    <row r="81" spans="1:82" customFormat="1" ht="30" x14ac:dyDescent="0.25">
      <c r="A81" s="18" t="s">
        <v>197</v>
      </c>
      <c r="B81" s="5">
        <v>1757</v>
      </c>
      <c r="C81" s="8" t="s">
        <v>4</v>
      </c>
      <c r="D81" s="8" t="s">
        <v>5</v>
      </c>
      <c r="E81" s="95" t="s">
        <v>174</v>
      </c>
      <c r="F81" s="78"/>
      <c r="G81" s="77"/>
      <c r="H81" s="77"/>
      <c r="I81" s="8" t="s">
        <v>53</v>
      </c>
      <c r="J81" s="74"/>
      <c r="K81" s="74"/>
      <c r="L81" s="90"/>
      <c r="M81" s="81"/>
      <c r="N81" s="74"/>
      <c r="O81" s="74"/>
      <c r="P81" s="74"/>
      <c r="Q81" s="81"/>
      <c r="R81" s="72"/>
      <c r="S81" s="79"/>
      <c r="T81" s="80"/>
      <c r="U81" s="81"/>
      <c r="V81" s="81"/>
      <c r="W81" s="81"/>
      <c r="X81" s="81"/>
      <c r="Y81" s="81"/>
      <c r="Z81" s="81"/>
      <c r="AA81" s="81"/>
      <c r="AB81" s="80"/>
      <c r="AC81" s="80"/>
      <c r="AD81" s="80"/>
      <c r="AE81" s="86"/>
      <c r="AF81" s="80"/>
      <c r="AG81" s="81"/>
      <c r="AH81" s="86"/>
      <c r="AI81" s="86"/>
      <c r="AJ81" s="80"/>
      <c r="AK81" s="80"/>
      <c r="AL81" s="86"/>
      <c r="AM81" s="86"/>
      <c r="AN81" s="80"/>
      <c r="AO81" s="74"/>
      <c r="AP81" s="86"/>
      <c r="AQ81" s="80"/>
      <c r="AR81" s="74"/>
      <c r="AS81" s="86"/>
      <c r="AT81" s="80"/>
      <c r="AU81" s="80" t="s">
        <v>6</v>
      </c>
      <c r="AV81" s="80"/>
      <c r="AW81" s="86"/>
      <c r="AX81" s="80"/>
      <c r="AY81" s="88"/>
      <c r="AZ81" s="74" t="s">
        <v>214</v>
      </c>
      <c r="BA81" s="92">
        <v>7.8</v>
      </c>
      <c r="BB81" s="92">
        <v>3.9</v>
      </c>
      <c r="BC81" s="71"/>
      <c r="BD81" s="72"/>
      <c r="BE81" s="72"/>
      <c r="BF81" s="72"/>
      <c r="BG81" s="111"/>
      <c r="BH81" s="72"/>
      <c r="BI81" s="96"/>
      <c r="BJ81" s="111"/>
      <c r="BK81" s="111"/>
      <c r="BL81" s="72"/>
      <c r="BM81" s="72"/>
      <c r="BN81" s="72"/>
      <c r="BO81" s="74"/>
      <c r="BP81" s="74"/>
      <c r="BQ81" s="104"/>
      <c r="BR81" s="104"/>
      <c r="BS81" s="71"/>
      <c r="BT81" s="71"/>
      <c r="BU81" s="71"/>
      <c r="BV81" s="96">
        <f t="shared" si="5"/>
        <v>0</v>
      </c>
      <c r="BW81" s="101"/>
      <c r="BX81" s="101">
        <f>SUBTOTAL(9,BM81,BW81)</f>
        <v>0</v>
      </c>
    </row>
    <row r="82" spans="1:82" customFormat="1" ht="75" x14ac:dyDescent="0.25">
      <c r="A82" s="113" t="s">
        <v>79</v>
      </c>
      <c r="B82" s="5">
        <v>659</v>
      </c>
      <c r="C82" s="8" t="s">
        <v>4</v>
      </c>
      <c r="D82" s="8" t="s">
        <v>5</v>
      </c>
      <c r="E82" s="8" t="s">
        <v>68</v>
      </c>
      <c r="F82" s="8"/>
      <c r="G82" s="77" t="s">
        <v>214</v>
      </c>
      <c r="H82" s="77" t="s">
        <v>6</v>
      </c>
      <c r="I82" s="8" t="s">
        <v>7</v>
      </c>
      <c r="J82" s="74" t="s">
        <v>7</v>
      </c>
      <c r="K82" s="74" t="s">
        <v>526</v>
      </c>
      <c r="L82" s="90" t="s">
        <v>600</v>
      </c>
      <c r="M82" s="81">
        <v>350</v>
      </c>
      <c r="N82" s="74" t="s">
        <v>6</v>
      </c>
      <c r="O82" s="74" t="s">
        <v>221</v>
      </c>
      <c r="P82" s="74" t="s">
        <v>221</v>
      </c>
      <c r="Q82" s="81">
        <v>3129</v>
      </c>
      <c r="R82" s="74" t="s">
        <v>222</v>
      </c>
      <c r="S82" s="79">
        <f>(Q82-AA82)/Q82</f>
        <v>5.8165548098434001E-2</v>
      </c>
      <c r="T82" s="80">
        <f>AVERAGE(Q82:Q82)</f>
        <v>3129</v>
      </c>
      <c r="U82" s="81"/>
      <c r="V82" s="81"/>
      <c r="W82" s="81">
        <v>2673</v>
      </c>
      <c r="X82" s="81">
        <v>2914</v>
      </c>
      <c r="Y82" s="81">
        <v>2612</v>
      </c>
      <c r="Z82" s="81">
        <v>2625</v>
      </c>
      <c r="AA82" s="81">
        <v>2947</v>
      </c>
      <c r="AB82" s="80">
        <v>2400</v>
      </c>
      <c r="AC82" s="80" t="s">
        <v>223</v>
      </c>
      <c r="AD82" s="80">
        <f>Q82/100*75</f>
        <v>2346.75</v>
      </c>
      <c r="AE82" s="86">
        <v>700</v>
      </c>
      <c r="AF82" s="80" t="s">
        <v>223</v>
      </c>
      <c r="AG82" s="81" t="s">
        <v>75</v>
      </c>
      <c r="AH82" s="86">
        <v>30</v>
      </c>
      <c r="AI82" s="86">
        <v>400</v>
      </c>
      <c r="AJ82" s="80" t="s">
        <v>223</v>
      </c>
      <c r="AK82" s="80">
        <v>12</v>
      </c>
      <c r="AL82" s="86">
        <v>53</v>
      </c>
      <c r="AM82" s="86">
        <v>6</v>
      </c>
      <c r="AN82" s="80" t="s">
        <v>222</v>
      </c>
      <c r="AO82" s="74">
        <v>7</v>
      </c>
      <c r="AP82" s="86">
        <v>220</v>
      </c>
      <c r="AQ82" s="80" t="s">
        <v>223</v>
      </c>
      <c r="AR82" s="74">
        <v>15</v>
      </c>
      <c r="AS82" s="86">
        <v>100</v>
      </c>
      <c r="AT82" s="80" t="s">
        <v>223</v>
      </c>
      <c r="AU82" s="80" t="s">
        <v>6</v>
      </c>
      <c r="AV82" s="80" t="s">
        <v>6</v>
      </c>
      <c r="AW82" s="86">
        <v>43723</v>
      </c>
      <c r="AX82" s="80" t="s">
        <v>6</v>
      </c>
      <c r="AY82" s="88">
        <v>280</v>
      </c>
      <c r="AZ82" s="74" t="s">
        <v>6</v>
      </c>
      <c r="BA82" s="92">
        <v>1</v>
      </c>
      <c r="BB82" s="92">
        <v>0.5</v>
      </c>
      <c r="BC82" s="71" t="s">
        <v>221</v>
      </c>
      <c r="BD82" s="74">
        <v>32</v>
      </c>
      <c r="BE82" s="74">
        <v>39</v>
      </c>
      <c r="BF82" s="74">
        <v>50</v>
      </c>
      <c r="BG82" s="111" t="s">
        <v>370</v>
      </c>
      <c r="BH82" s="74" t="s">
        <v>222</v>
      </c>
      <c r="BI82" s="96"/>
      <c r="BJ82" s="111">
        <v>4000</v>
      </c>
      <c r="BK82" s="111" t="s">
        <v>370</v>
      </c>
      <c r="BL82" s="74">
        <v>0</v>
      </c>
      <c r="BM82" s="74">
        <v>0</v>
      </c>
      <c r="BN82" s="74" t="s">
        <v>222</v>
      </c>
      <c r="BO82" s="74">
        <v>0</v>
      </c>
      <c r="BP82" s="74">
        <v>0</v>
      </c>
      <c r="BQ82" s="104" t="s">
        <v>266</v>
      </c>
      <c r="BR82" s="104" t="s">
        <v>371</v>
      </c>
      <c r="BS82" s="71">
        <f>AD82/100*(47)*12.91</f>
        <v>14239.374975000001</v>
      </c>
      <c r="BT82" s="71">
        <f>AD82/100*(53)*25.82</f>
        <v>32114.335050000005</v>
      </c>
      <c r="BU82" s="71">
        <v>11722.016250000001</v>
      </c>
      <c r="BV82" s="96">
        <f t="shared" si="5"/>
        <v>58075.726275000008</v>
      </c>
      <c r="BW82" s="101">
        <f>BM82*(1-0.25)*(1-0.21)*(1-0.25)*1.2</f>
        <v>0</v>
      </c>
      <c r="BX82" s="101">
        <f>SUBTOTAL(9,BM82,BW82)</f>
        <v>0</v>
      </c>
    </row>
    <row r="83" spans="1:82" customFormat="1" ht="30" x14ac:dyDescent="0.25">
      <c r="A83" s="110" t="s">
        <v>207</v>
      </c>
      <c r="B83" s="5">
        <v>2273</v>
      </c>
      <c r="C83" s="8" t="s">
        <v>4</v>
      </c>
      <c r="D83" s="8" t="s">
        <v>5</v>
      </c>
      <c r="E83" s="76" t="s">
        <v>174</v>
      </c>
      <c r="F83" s="76"/>
      <c r="G83" s="77"/>
      <c r="H83" s="77"/>
      <c r="I83" s="8" t="s">
        <v>7</v>
      </c>
      <c r="J83" s="74"/>
      <c r="K83" s="74"/>
      <c r="L83" s="90"/>
      <c r="M83" s="81"/>
      <c r="N83" s="74"/>
      <c r="O83" s="74"/>
      <c r="P83" s="74"/>
      <c r="Q83" s="81"/>
      <c r="R83" s="72"/>
      <c r="S83" s="79"/>
      <c r="T83" s="80"/>
      <c r="U83" s="81"/>
      <c r="V83" s="81"/>
      <c r="W83" s="81">
        <v>7000</v>
      </c>
      <c r="X83" s="81">
        <v>10000</v>
      </c>
      <c r="Y83" s="81"/>
      <c r="Z83" s="81"/>
      <c r="AA83" s="81"/>
      <c r="AB83" s="80"/>
      <c r="AC83" s="80"/>
      <c r="AD83" s="80"/>
      <c r="AE83" s="86"/>
      <c r="AF83" s="80"/>
      <c r="AG83" s="81"/>
      <c r="AH83" s="86"/>
      <c r="AI83" s="86"/>
      <c r="AJ83" s="80"/>
      <c r="AK83" s="80"/>
      <c r="AL83" s="86"/>
      <c r="AM83" s="86"/>
      <c r="AN83" s="80"/>
      <c r="AO83" s="74"/>
      <c r="AP83" s="86"/>
      <c r="AQ83" s="80"/>
      <c r="AR83" s="74"/>
      <c r="AS83" s="86"/>
      <c r="AT83" s="80"/>
      <c r="AU83" s="80" t="s">
        <v>6</v>
      </c>
      <c r="AV83" s="80"/>
      <c r="AW83" s="86"/>
      <c r="AX83" s="80"/>
      <c r="AY83" s="88"/>
      <c r="AZ83" s="74" t="s">
        <v>214</v>
      </c>
      <c r="BA83" s="92">
        <v>10</v>
      </c>
      <c r="BB83" s="92">
        <v>4</v>
      </c>
      <c r="BC83" s="71"/>
      <c r="BD83" s="72"/>
      <c r="BE83" s="72"/>
      <c r="BF83" s="72"/>
      <c r="BG83" s="111"/>
      <c r="BH83" s="72"/>
      <c r="BI83" s="96"/>
      <c r="BJ83" s="111"/>
      <c r="BK83" s="111"/>
      <c r="BL83" s="72"/>
      <c r="BM83" s="72"/>
      <c r="BN83" s="72"/>
      <c r="BO83" s="74"/>
      <c r="BP83" s="74"/>
      <c r="BQ83" s="104"/>
      <c r="BR83" s="104"/>
      <c r="BS83" s="71"/>
      <c r="BT83" s="71"/>
      <c r="BU83" s="71"/>
      <c r="BV83" s="96">
        <f t="shared" si="5"/>
        <v>0</v>
      </c>
      <c r="BW83" s="101"/>
      <c r="BX83" s="101">
        <f>SUBTOTAL(9,BM83,BW83)</f>
        <v>0</v>
      </c>
    </row>
    <row r="84" spans="1:82" customFormat="1" ht="75" x14ac:dyDescent="0.25">
      <c r="A84" s="110" t="s">
        <v>182</v>
      </c>
      <c r="B84" s="5">
        <v>715</v>
      </c>
      <c r="C84" s="8" t="s">
        <v>4</v>
      </c>
      <c r="D84" s="8" t="s">
        <v>5</v>
      </c>
      <c r="E84" s="76" t="s">
        <v>174</v>
      </c>
      <c r="F84" s="76"/>
      <c r="G84" s="77" t="s">
        <v>214</v>
      </c>
      <c r="H84" s="77" t="s">
        <v>6</v>
      </c>
      <c r="I84" s="8" t="s">
        <v>7</v>
      </c>
      <c r="J84" s="74" t="s">
        <v>7</v>
      </c>
      <c r="K84" s="74" t="s">
        <v>526</v>
      </c>
      <c r="L84" s="90" t="s">
        <v>600</v>
      </c>
      <c r="M84" s="81">
        <v>616.5</v>
      </c>
      <c r="N84" s="74" t="s">
        <v>6</v>
      </c>
      <c r="O84" s="74" t="s">
        <v>221</v>
      </c>
      <c r="P84" s="74" t="s">
        <v>221</v>
      </c>
      <c r="Q84" s="81">
        <v>3648</v>
      </c>
      <c r="R84" s="74" t="s">
        <v>222</v>
      </c>
      <c r="S84" s="79">
        <f>(Q84-AA84)/Q84</f>
        <v>7.4013157894736836E-2</v>
      </c>
      <c r="T84" s="80">
        <f>AVERAGE(Q84:Q84)</f>
        <v>3648</v>
      </c>
      <c r="U84" s="81">
        <v>2425</v>
      </c>
      <c r="V84" s="81">
        <v>3304</v>
      </c>
      <c r="W84" s="81"/>
      <c r="X84" s="81"/>
      <c r="Y84" s="81"/>
      <c r="Z84" s="81"/>
      <c r="AA84" s="81">
        <v>3378</v>
      </c>
      <c r="AB84" s="80">
        <v>3129</v>
      </c>
      <c r="AC84" s="80" t="s">
        <v>222</v>
      </c>
      <c r="AD84" s="80">
        <f>Q84/100*75</f>
        <v>2735.9999999999995</v>
      </c>
      <c r="AE84" s="86">
        <v>519</v>
      </c>
      <c r="AF84" s="80" t="s">
        <v>222</v>
      </c>
      <c r="AG84" s="81" t="s">
        <v>75</v>
      </c>
      <c r="AH84" s="86">
        <v>1</v>
      </c>
      <c r="AI84" s="86">
        <v>9</v>
      </c>
      <c r="AJ84" s="80" t="s">
        <v>223</v>
      </c>
      <c r="AK84" s="80" t="s">
        <v>305</v>
      </c>
      <c r="AL84" s="86" t="s">
        <v>305</v>
      </c>
      <c r="AM84" s="86" t="s">
        <v>305</v>
      </c>
      <c r="AN84" s="80" t="s">
        <v>223</v>
      </c>
      <c r="AO84" s="74">
        <v>31</v>
      </c>
      <c r="AP84" s="86">
        <v>735</v>
      </c>
      <c r="AQ84" s="80" t="s">
        <v>222</v>
      </c>
      <c r="AR84" s="74">
        <v>4</v>
      </c>
      <c r="AS84" s="86">
        <v>171</v>
      </c>
      <c r="AT84" s="80" t="s">
        <v>222</v>
      </c>
      <c r="AU84" s="80" t="s">
        <v>6</v>
      </c>
      <c r="AV84" s="80" t="s">
        <v>6</v>
      </c>
      <c r="AW84" s="86" t="s">
        <v>372</v>
      </c>
      <c r="AX84" s="80" t="s">
        <v>221</v>
      </c>
      <c r="AY84" s="88" t="s">
        <v>75</v>
      </c>
      <c r="AZ84" s="74" t="s">
        <v>221</v>
      </c>
      <c r="BA84" s="92" t="s">
        <v>266</v>
      </c>
      <c r="BB84" s="92" t="s">
        <v>266</v>
      </c>
      <c r="BC84" s="71" t="s">
        <v>221</v>
      </c>
      <c r="BD84" s="74">
        <v>60</v>
      </c>
      <c r="BE84" s="74"/>
      <c r="BF84" s="74">
        <v>75</v>
      </c>
      <c r="BG84" s="111">
        <v>5105</v>
      </c>
      <c r="BH84" s="74" t="s">
        <v>222</v>
      </c>
      <c r="BI84" s="96">
        <f>BG84/7*50</f>
        <v>36464.285714285717</v>
      </c>
      <c r="BJ84" s="111"/>
      <c r="BK84" s="111">
        <v>5903</v>
      </c>
      <c r="BL84" s="74">
        <v>0</v>
      </c>
      <c r="BM84" s="74">
        <v>0</v>
      </c>
      <c r="BN84" s="74" t="s">
        <v>222</v>
      </c>
      <c r="BO84" s="74">
        <v>0</v>
      </c>
      <c r="BP84" s="74">
        <v>0</v>
      </c>
      <c r="BQ84" s="104" t="s">
        <v>75</v>
      </c>
      <c r="BR84" s="104" t="s">
        <v>75</v>
      </c>
      <c r="BS84" s="71">
        <f>AD84/100*(47)*12.86</f>
        <v>16536.931199999999</v>
      </c>
      <c r="BT84" s="71">
        <f>AD84/100*(53)*25.73</f>
        <v>37310.558399999994</v>
      </c>
      <c r="BU84" s="71">
        <v>9689.4699999999993</v>
      </c>
      <c r="BV84" s="96">
        <f t="shared" si="5"/>
        <v>63536.959599999995</v>
      </c>
      <c r="BW84" s="101">
        <f>BM84*(1-0.25)*(1-0.21)*(1-0.25)*1.2</f>
        <v>0</v>
      </c>
      <c r="BX84" s="101">
        <f>SUBTOTAL(9,BM84,BW84)</f>
        <v>0</v>
      </c>
    </row>
    <row r="85" spans="1:82" customFormat="1" ht="60" x14ac:dyDescent="0.25">
      <c r="A85" s="113" t="s">
        <v>113</v>
      </c>
      <c r="B85" s="5">
        <v>575</v>
      </c>
      <c r="C85" s="8" t="s">
        <v>4</v>
      </c>
      <c r="D85" s="8" t="s">
        <v>5</v>
      </c>
      <c r="E85" s="8" t="s">
        <v>109</v>
      </c>
      <c r="F85" s="8" t="s">
        <v>114</v>
      </c>
      <c r="G85" s="77" t="s">
        <v>214</v>
      </c>
      <c r="H85" s="77"/>
      <c r="I85" s="8" t="s">
        <v>9</v>
      </c>
      <c r="J85" s="74" t="s">
        <v>9</v>
      </c>
      <c r="K85" s="74" t="s">
        <v>527</v>
      </c>
      <c r="L85" s="90" t="s">
        <v>599</v>
      </c>
      <c r="M85" s="81" t="s">
        <v>534</v>
      </c>
      <c r="N85" s="74" t="s">
        <v>6</v>
      </c>
      <c r="O85" s="74" t="s">
        <v>6</v>
      </c>
      <c r="P85" s="74" t="s">
        <v>6</v>
      </c>
      <c r="Q85" s="81">
        <v>14681</v>
      </c>
      <c r="R85" s="74" t="s">
        <v>222</v>
      </c>
      <c r="S85" s="79"/>
      <c r="T85" s="80">
        <f>AVERAGE(Q85:Q85)</f>
        <v>14681</v>
      </c>
      <c r="U85" s="81">
        <v>17679</v>
      </c>
      <c r="V85" s="81">
        <v>19979</v>
      </c>
      <c r="W85" s="81">
        <v>20574</v>
      </c>
      <c r="X85" s="81">
        <v>13210</v>
      </c>
      <c r="Y85" s="81">
        <v>13563</v>
      </c>
      <c r="Z85" s="81">
        <v>15677</v>
      </c>
      <c r="AA85" s="81"/>
      <c r="AB85" s="80">
        <v>8679</v>
      </c>
      <c r="AC85" s="80" t="s">
        <v>222</v>
      </c>
      <c r="AD85" s="80">
        <f>Q85/100*69</f>
        <v>10129.89</v>
      </c>
      <c r="AE85" s="86">
        <v>6002</v>
      </c>
      <c r="AF85" s="80" t="s">
        <v>222</v>
      </c>
      <c r="AG85" s="81" t="s">
        <v>301</v>
      </c>
      <c r="AH85" s="86">
        <v>79</v>
      </c>
      <c r="AI85" s="86">
        <v>1920</v>
      </c>
      <c r="AJ85" s="80" t="s">
        <v>222</v>
      </c>
      <c r="AK85" s="80">
        <v>13</v>
      </c>
      <c r="AL85" s="86">
        <v>416</v>
      </c>
      <c r="AM85" s="86">
        <v>61</v>
      </c>
      <c r="AN85" s="80" t="s">
        <v>222</v>
      </c>
      <c r="AO85" s="74">
        <v>29</v>
      </c>
      <c r="AP85" s="86">
        <v>183</v>
      </c>
      <c r="AQ85" s="80" t="s">
        <v>222</v>
      </c>
      <c r="AR85" s="74">
        <v>4</v>
      </c>
      <c r="AS85" s="86">
        <v>76</v>
      </c>
      <c r="AT85" s="80" t="s">
        <v>222</v>
      </c>
      <c r="AU85" s="80" t="s">
        <v>221</v>
      </c>
      <c r="AV85" s="80" t="s">
        <v>221</v>
      </c>
      <c r="AW85" s="86">
        <v>21914</v>
      </c>
      <c r="AX85" s="80" t="s">
        <v>6</v>
      </c>
      <c r="AY85" s="88">
        <v>1307</v>
      </c>
      <c r="AZ85" s="74" t="s">
        <v>6</v>
      </c>
      <c r="BA85" s="92">
        <v>3.5</v>
      </c>
      <c r="BB85" s="92" t="s">
        <v>644</v>
      </c>
      <c r="BC85" s="71" t="s">
        <v>221</v>
      </c>
      <c r="BD85" s="74">
        <v>69</v>
      </c>
      <c r="BE85" s="74">
        <v>70</v>
      </c>
      <c r="BF85" s="74"/>
      <c r="BG85" s="111">
        <v>2450</v>
      </c>
      <c r="BH85" s="74" t="s">
        <v>222</v>
      </c>
      <c r="BI85" s="96">
        <f>BG85/7*50</f>
        <v>17500</v>
      </c>
      <c r="BJ85" s="111">
        <v>7500</v>
      </c>
      <c r="BK85" s="111"/>
      <c r="BL85" s="74">
        <v>18</v>
      </c>
      <c r="BM85" s="74">
        <v>5.73</v>
      </c>
      <c r="BN85" s="74" t="s">
        <v>222</v>
      </c>
      <c r="BO85" s="74"/>
      <c r="BP85" s="74"/>
      <c r="BQ85" s="104" t="s">
        <v>535</v>
      </c>
      <c r="BR85" s="104" t="s">
        <v>536</v>
      </c>
      <c r="BS85" s="71">
        <f>AD85/100*(44)*11.29</f>
        <v>50321.241563999989</v>
      </c>
      <c r="BT85" s="71">
        <f>AD85/100*(56)*22.59</f>
        <v>128147.16045599998</v>
      </c>
      <c r="BU85" s="71">
        <v>272249.46250000002</v>
      </c>
      <c r="BV85" s="96">
        <f t="shared" si="5"/>
        <v>450717.86452</v>
      </c>
      <c r="BW85" s="101">
        <f>BM85*(1-0.25)*(1-0.26)*(1-0.25)*1.2</f>
        <v>2.8621349999999999</v>
      </c>
      <c r="BX85" s="101">
        <f>SUBTOTAL(9,BM85,BW85)</f>
        <v>8.5921350000000007</v>
      </c>
      <c r="BY85" s="28"/>
      <c r="BZ85" s="28"/>
    </row>
    <row r="86" spans="1:82" customFormat="1" ht="30" x14ac:dyDescent="0.25">
      <c r="A86" s="110" t="s">
        <v>183</v>
      </c>
      <c r="B86" s="5">
        <v>729</v>
      </c>
      <c r="C86" s="8" t="s">
        <v>4</v>
      </c>
      <c r="D86" s="8" t="s">
        <v>5</v>
      </c>
      <c r="E86" s="8" t="s">
        <v>174</v>
      </c>
      <c r="F86" s="8"/>
      <c r="G86" s="77" t="s">
        <v>6</v>
      </c>
      <c r="H86" s="77" t="s">
        <v>6</v>
      </c>
      <c r="I86" s="8" t="s">
        <v>9</v>
      </c>
      <c r="J86" s="74" t="s">
        <v>9</v>
      </c>
      <c r="K86" s="74" t="s">
        <v>527</v>
      </c>
      <c r="L86" s="90" t="s">
        <v>599</v>
      </c>
      <c r="M86" s="81">
        <v>2341</v>
      </c>
      <c r="N86" s="74" t="s">
        <v>6</v>
      </c>
      <c r="O86" s="74" t="s">
        <v>221</v>
      </c>
      <c r="P86" s="74" t="s">
        <v>221</v>
      </c>
      <c r="Q86" s="81">
        <v>24848</v>
      </c>
      <c r="R86" s="74" t="s">
        <v>222</v>
      </c>
      <c r="S86" s="79">
        <f>(Q86-AA86)/Q86</f>
        <v>-0.2228750804893754</v>
      </c>
      <c r="T86" s="80">
        <f>AVERAGE(Q86:Q86)</f>
        <v>24848</v>
      </c>
      <c r="U86" s="81"/>
      <c r="V86" s="81"/>
      <c r="W86" s="81">
        <v>24978</v>
      </c>
      <c r="X86" s="81">
        <v>17286</v>
      </c>
      <c r="Y86" s="81"/>
      <c r="Z86" s="81"/>
      <c r="AA86" s="81">
        <v>30386</v>
      </c>
      <c r="AB86" s="80">
        <v>10354</v>
      </c>
      <c r="AC86" s="80" t="s">
        <v>223</v>
      </c>
      <c r="AD86" s="80">
        <f>Q86/100*69</f>
        <v>17145.12</v>
      </c>
      <c r="AE86" s="86">
        <v>14494</v>
      </c>
      <c r="AF86" s="80" t="s">
        <v>223</v>
      </c>
      <c r="AG86" s="81" t="s">
        <v>376</v>
      </c>
      <c r="AH86" s="86">
        <v>41</v>
      </c>
      <c r="AI86" s="86">
        <v>2480</v>
      </c>
      <c r="AJ86" s="80" t="s">
        <v>223</v>
      </c>
      <c r="AK86" s="80">
        <v>0</v>
      </c>
      <c r="AL86" s="86">
        <v>0</v>
      </c>
      <c r="AM86" s="86">
        <v>32</v>
      </c>
      <c r="AN86" s="80" t="s">
        <v>222</v>
      </c>
      <c r="AO86" s="74">
        <v>10</v>
      </c>
      <c r="AP86" s="86">
        <v>250</v>
      </c>
      <c r="AQ86" s="80" t="s">
        <v>223</v>
      </c>
      <c r="AR86" s="74">
        <v>0</v>
      </c>
      <c r="AS86" s="86">
        <v>0</v>
      </c>
      <c r="AT86" s="80" t="s">
        <v>222</v>
      </c>
      <c r="AU86" s="80" t="s">
        <v>6</v>
      </c>
      <c r="AV86" s="80" t="s">
        <v>221</v>
      </c>
      <c r="AW86" s="86" t="s">
        <v>281</v>
      </c>
      <c r="AX86" s="80" t="s">
        <v>6</v>
      </c>
      <c r="AY86" s="88" t="s">
        <v>281</v>
      </c>
      <c r="AZ86" s="74" t="s">
        <v>6</v>
      </c>
      <c r="BA86" s="92">
        <v>4</v>
      </c>
      <c r="BB86" s="92">
        <v>2</v>
      </c>
      <c r="BC86" s="71" t="s">
        <v>221</v>
      </c>
      <c r="BD86" s="74">
        <v>10</v>
      </c>
      <c r="BE86" s="74"/>
      <c r="BF86" s="74">
        <v>60</v>
      </c>
      <c r="BG86" s="111">
        <v>200</v>
      </c>
      <c r="BH86" s="74" t="s">
        <v>223</v>
      </c>
      <c r="BI86" s="96">
        <f>BG86/7*50</f>
        <v>1428.5714285714287</v>
      </c>
      <c r="BJ86" s="111"/>
      <c r="BK86" s="111">
        <v>2902</v>
      </c>
      <c r="BL86" s="74">
        <v>6</v>
      </c>
      <c r="BM86" s="74">
        <v>5</v>
      </c>
      <c r="BN86" s="74" t="s">
        <v>223</v>
      </c>
      <c r="BO86" s="74">
        <v>9</v>
      </c>
      <c r="BP86" s="74">
        <v>4</v>
      </c>
      <c r="BQ86" s="104" t="s">
        <v>75</v>
      </c>
      <c r="BR86" s="104" t="s">
        <v>75</v>
      </c>
      <c r="BS86" s="71">
        <f>AD86/100*(44)*12.86</f>
        <v>97013.947007999988</v>
      </c>
      <c r="BT86" s="71">
        <f>AD86/100*(56)*25.73</f>
        <v>247040.605056</v>
      </c>
      <c r="BU86" s="71"/>
      <c r="BV86" s="96">
        <f t="shared" si="5"/>
        <v>344054.55206399999</v>
      </c>
      <c r="BW86" s="101">
        <f>BM86*(1-0.25)*(1-0.26)*(1-0.25)*1.2</f>
        <v>2.4974999999999996</v>
      </c>
      <c r="BX86" s="101">
        <f>SUBTOTAL(9,BM86,BW86)</f>
        <v>7.4974999999999996</v>
      </c>
    </row>
    <row r="87" spans="1:82" customFormat="1" ht="30" x14ac:dyDescent="0.25">
      <c r="A87" s="18" t="s">
        <v>123</v>
      </c>
      <c r="B87" s="5">
        <v>780</v>
      </c>
      <c r="C87" s="8" t="s">
        <v>4</v>
      </c>
      <c r="D87" s="8" t="s">
        <v>5</v>
      </c>
      <c r="E87" s="8" t="s">
        <v>109</v>
      </c>
      <c r="F87" s="8"/>
      <c r="G87" s="77"/>
      <c r="H87" s="77"/>
      <c r="I87" s="8" t="s">
        <v>7</v>
      </c>
      <c r="J87" s="74"/>
      <c r="K87" s="74"/>
      <c r="L87" s="90"/>
      <c r="M87" s="81"/>
      <c r="N87" s="74"/>
      <c r="O87" s="74"/>
      <c r="P87" s="74"/>
      <c r="Q87" s="81"/>
      <c r="R87" s="72"/>
      <c r="S87" s="79"/>
      <c r="T87" s="80"/>
      <c r="U87" s="81"/>
      <c r="V87" s="81"/>
      <c r="W87" s="81"/>
      <c r="X87" s="81"/>
      <c r="Y87" s="81"/>
      <c r="Z87" s="81"/>
      <c r="AA87" s="81"/>
      <c r="AB87" s="80"/>
      <c r="AC87" s="80"/>
      <c r="AD87" s="80"/>
      <c r="AE87" s="86"/>
      <c r="AF87" s="80"/>
      <c r="AG87" s="81"/>
      <c r="AH87" s="86"/>
      <c r="AI87" s="86"/>
      <c r="AJ87" s="80"/>
      <c r="AK87" s="80"/>
      <c r="AL87" s="86"/>
      <c r="AM87" s="86"/>
      <c r="AN87" s="80"/>
      <c r="AO87" s="74"/>
      <c r="AP87" s="86"/>
      <c r="AQ87" s="80"/>
      <c r="AR87" s="74"/>
      <c r="AS87" s="86"/>
      <c r="AT87" s="80"/>
      <c r="AU87" s="80" t="s">
        <v>6</v>
      </c>
      <c r="AV87" s="80"/>
      <c r="AW87" s="86"/>
      <c r="AX87" s="80"/>
      <c r="AY87" s="88"/>
      <c r="AZ87" s="74" t="s">
        <v>295</v>
      </c>
      <c r="BA87" s="92" t="s">
        <v>266</v>
      </c>
      <c r="BB87" s="92" t="s">
        <v>266</v>
      </c>
      <c r="BC87" s="71"/>
      <c r="BD87" s="72"/>
      <c r="BE87" s="72"/>
      <c r="BF87" s="72"/>
      <c r="BG87" s="111"/>
      <c r="BH87" s="72"/>
      <c r="BI87" s="96"/>
      <c r="BJ87" s="111"/>
      <c r="BK87" s="111"/>
      <c r="BL87" s="72"/>
      <c r="BM87" s="72"/>
      <c r="BN87" s="72"/>
      <c r="BO87" s="74"/>
      <c r="BP87" s="74"/>
      <c r="BQ87" s="104"/>
      <c r="BR87" s="104"/>
      <c r="BS87" s="71"/>
      <c r="BT87" s="71"/>
      <c r="BU87" s="71"/>
      <c r="BV87" s="96">
        <f t="shared" si="5"/>
        <v>0</v>
      </c>
      <c r="BW87" s="101"/>
      <c r="BX87" s="101">
        <f>SUBTOTAL(9,BM87,BW87)</f>
        <v>0</v>
      </c>
    </row>
    <row r="88" spans="1:82" customFormat="1" ht="75" x14ac:dyDescent="0.25">
      <c r="A88" s="110" t="s">
        <v>168</v>
      </c>
      <c r="B88" s="5">
        <v>2025</v>
      </c>
      <c r="C88" s="8" t="s">
        <v>4</v>
      </c>
      <c r="D88" s="8" t="s">
        <v>5</v>
      </c>
      <c r="E88" s="76" t="s">
        <v>137</v>
      </c>
      <c r="F88" s="94"/>
      <c r="G88" s="77" t="s">
        <v>6</v>
      </c>
      <c r="H88" s="77" t="s">
        <v>6</v>
      </c>
      <c r="I88" s="8" t="s">
        <v>9</v>
      </c>
      <c r="J88" s="74" t="s">
        <v>9</v>
      </c>
      <c r="K88" s="74" t="s">
        <v>526</v>
      </c>
      <c r="L88" s="90" t="s">
        <v>600</v>
      </c>
      <c r="M88" s="81">
        <v>630</v>
      </c>
      <c r="N88" s="74" t="s">
        <v>6</v>
      </c>
      <c r="O88" s="74" t="s">
        <v>221</v>
      </c>
      <c r="P88" s="74" t="s">
        <v>221</v>
      </c>
      <c r="Q88" s="81">
        <v>860</v>
      </c>
      <c r="R88" s="74" t="s">
        <v>222</v>
      </c>
      <c r="S88" s="79">
        <f>(Q88-AA88)/Q88</f>
        <v>-6.9767441860465115E-2</v>
      </c>
      <c r="T88" s="80">
        <f t="shared" ref="T88:T93" si="8">AVERAGE(Q88:Q88)</f>
        <v>860</v>
      </c>
      <c r="U88" s="81"/>
      <c r="V88" s="81"/>
      <c r="W88" s="81"/>
      <c r="X88" s="81"/>
      <c r="Y88" s="81">
        <v>600</v>
      </c>
      <c r="Z88" s="81">
        <v>376</v>
      </c>
      <c r="AA88" s="81">
        <v>920</v>
      </c>
      <c r="AB88" s="80">
        <v>750</v>
      </c>
      <c r="AC88" s="80" t="s">
        <v>222</v>
      </c>
      <c r="AD88" s="80">
        <f>Q88/100*75</f>
        <v>645</v>
      </c>
      <c r="AE88" s="86">
        <v>110</v>
      </c>
      <c r="AF88" s="80" t="s">
        <v>222</v>
      </c>
      <c r="AG88" s="81" t="s">
        <v>377</v>
      </c>
      <c r="AH88" s="86">
        <v>0</v>
      </c>
      <c r="AI88" s="86">
        <v>0</v>
      </c>
      <c r="AJ88" s="80" t="s">
        <v>75</v>
      </c>
      <c r="AK88" s="80">
        <v>0</v>
      </c>
      <c r="AL88" s="86" t="s">
        <v>75</v>
      </c>
      <c r="AM88" s="86" t="s">
        <v>75</v>
      </c>
      <c r="AN88" s="80" t="s">
        <v>75</v>
      </c>
      <c r="AO88" s="74" t="s">
        <v>378</v>
      </c>
      <c r="AP88" s="86">
        <v>25</v>
      </c>
      <c r="AQ88" s="80" t="s">
        <v>223</v>
      </c>
      <c r="AR88" s="74">
        <v>0</v>
      </c>
      <c r="AS88" s="86">
        <v>0</v>
      </c>
      <c r="AT88" s="80" t="s">
        <v>75</v>
      </c>
      <c r="AU88" s="80" t="s">
        <v>214</v>
      </c>
      <c r="AV88" s="80" t="s">
        <v>6</v>
      </c>
      <c r="AW88" s="86" t="s">
        <v>281</v>
      </c>
      <c r="AX88" s="80" t="s">
        <v>221</v>
      </c>
      <c r="AY88" s="88" t="s">
        <v>301</v>
      </c>
      <c r="AZ88" s="74" t="s">
        <v>221</v>
      </c>
      <c r="BA88" s="92" t="s">
        <v>266</v>
      </c>
      <c r="BB88" s="92" t="s">
        <v>266</v>
      </c>
      <c r="BC88" s="71" t="s">
        <v>221</v>
      </c>
      <c r="BD88" s="74">
        <v>8</v>
      </c>
      <c r="BE88" s="74">
        <v>9</v>
      </c>
      <c r="BF88" s="74">
        <v>10</v>
      </c>
      <c r="BG88" s="111">
        <v>5040</v>
      </c>
      <c r="BH88" s="74" t="s">
        <v>222</v>
      </c>
      <c r="BI88" s="96">
        <f>BG88/7*50</f>
        <v>36000</v>
      </c>
      <c r="BJ88" s="111">
        <v>2700</v>
      </c>
      <c r="BK88" s="111">
        <v>435</v>
      </c>
      <c r="BL88" s="74">
        <v>0</v>
      </c>
      <c r="BM88" s="74">
        <v>0</v>
      </c>
      <c r="BN88" s="74" t="s">
        <v>222</v>
      </c>
      <c r="BO88" s="74">
        <v>0</v>
      </c>
      <c r="BP88" s="74">
        <v>0</v>
      </c>
      <c r="BQ88" s="104" t="s">
        <v>75</v>
      </c>
      <c r="BR88" s="104" t="s">
        <v>75</v>
      </c>
      <c r="BS88" s="71">
        <f>AD88/100*(47)*14.08</f>
        <v>4268.3520000000008</v>
      </c>
      <c r="BT88" s="71">
        <f>AD88/100*(53)*28.16</f>
        <v>9626.496000000001</v>
      </c>
      <c r="BU88" s="71">
        <v>310.29250000000002</v>
      </c>
      <c r="BV88" s="96">
        <f t="shared" si="5"/>
        <v>14205.140500000001</v>
      </c>
      <c r="BW88" s="101">
        <f>BM88*(1-0.25)*(1-0.21)*(1-0.25)*1.2</f>
        <v>0</v>
      </c>
      <c r="BX88" s="101">
        <f>SUBTOTAL(9,BM88,BW88)</f>
        <v>0</v>
      </c>
    </row>
    <row r="89" spans="1:82" customFormat="1" ht="30" x14ac:dyDescent="0.25">
      <c r="A89" s="110" t="s">
        <v>40</v>
      </c>
      <c r="B89" s="5">
        <v>716</v>
      </c>
      <c r="C89" s="8" t="s">
        <v>4</v>
      </c>
      <c r="D89" s="8" t="s">
        <v>5</v>
      </c>
      <c r="E89" s="95" t="s">
        <v>25</v>
      </c>
      <c r="F89" s="78" t="s">
        <v>6</v>
      </c>
      <c r="G89" s="77"/>
      <c r="H89" s="77" t="s">
        <v>6</v>
      </c>
      <c r="I89" s="8" t="s">
        <v>7</v>
      </c>
      <c r="J89" s="74"/>
      <c r="K89" s="74"/>
      <c r="L89" s="90"/>
      <c r="M89" s="81"/>
      <c r="N89" s="74"/>
      <c r="O89" s="74"/>
      <c r="P89" s="74"/>
      <c r="Q89" s="81"/>
      <c r="R89" s="72"/>
      <c r="S89" s="79"/>
      <c r="T89" s="80" t="e">
        <f t="shared" si="8"/>
        <v>#DIV/0!</v>
      </c>
      <c r="U89" s="81"/>
      <c r="V89" s="81"/>
      <c r="W89" s="81"/>
      <c r="X89" s="81"/>
      <c r="Y89" s="81">
        <v>14197</v>
      </c>
      <c r="Z89" s="81">
        <v>12313</v>
      </c>
      <c r="AA89" s="81">
        <v>8500</v>
      </c>
      <c r="AB89" s="80"/>
      <c r="AC89" s="80"/>
      <c r="AD89" s="80"/>
      <c r="AE89" s="86"/>
      <c r="AF89" s="80"/>
      <c r="AG89" s="81"/>
      <c r="AH89" s="86"/>
      <c r="AI89" s="86"/>
      <c r="AJ89" s="80"/>
      <c r="AK89" s="80"/>
      <c r="AL89" s="86"/>
      <c r="AM89" s="86"/>
      <c r="AN89" s="80"/>
      <c r="AO89" s="74"/>
      <c r="AP89" s="86"/>
      <c r="AQ89" s="80"/>
      <c r="AR89" s="74"/>
      <c r="AS89" s="86"/>
      <c r="AT89" s="80"/>
      <c r="AU89" s="80" t="s">
        <v>6</v>
      </c>
      <c r="AV89" s="80"/>
      <c r="AW89" s="86"/>
      <c r="AX89" s="80"/>
      <c r="AY89" s="88"/>
      <c r="AZ89" s="74" t="s">
        <v>214</v>
      </c>
      <c r="BA89" s="92">
        <v>4</v>
      </c>
      <c r="BB89" s="92">
        <v>2</v>
      </c>
      <c r="BC89" s="71"/>
      <c r="BD89" s="72"/>
      <c r="BE89" s="72">
        <v>92</v>
      </c>
      <c r="BF89" s="72">
        <v>34</v>
      </c>
      <c r="BG89" s="111"/>
      <c r="BH89" s="72"/>
      <c r="BI89" s="96">
        <f>BG89/7*50</f>
        <v>0</v>
      </c>
      <c r="BJ89" s="111">
        <v>2496</v>
      </c>
      <c r="BK89" s="111">
        <v>2550</v>
      </c>
      <c r="BL89" s="72"/>
      <c r="BM89" s="72"/>
      <c r="BN89" s="72"/>
      <c r="BO89" s="74">
        <v>8</v>
      </c>
      <c r="BP89" s="74">
        <v>4.25</v>
      </c>
      <c r="BQ89" s="104"/>
      <c r="BR89" s="104"/>
      <c r="BS89" s="71"/>
      <c r="BT89" s="71"/>
      <c r="BU89" s="71"/>
      <c r="BV89" s="96">
        <f t="shared" si="5"/>
        <v>0</v>
      </c>
      <c r="BW89" s="101"/>
      <c r="BX89" s="101"/>
    </row>
    <row r="90" spans="1:82" customFormat="1" ht="45" x14ac:dyDescent="0.25">
      <c r="A90" s="113" t="s">
        <v>42</v>
      </c>
      <c r="B90" s="5">
        <v>727</v>
      </c>
      <c r="C90" s="8" t="s">
        <v>4</v>
      </c>
      <c r="D90" s="8" t="s">
        <v>5</v>
      </c>
      <c r="E90" s="95" t="s">
        <v>25</v>
      </c>
      <c r="F90" s="78"/>
      <c r="G90" s="77" t="s">
        <v>6</v>
      </c>
      <c r="H90" s="77" t="s">
        <v>6</v>
      </c>
      <c r="I90" s="8" t="s">
        <v>27</v>
      </c>
      <c r="J90" s="74" t="s">
        <v>27</v>
      </c>
      <c r="K90" s="74" t="s">
        <v>527</v>
      </c>
      <c r="L90" s="90" t="s">
        <v>599</v>
      </c>
      <c r="M90" s="81">
        <v>1804</v>
      </c>
      <c r="N90" s="74" t="s">
        <v>221</v>
      </c>
      <c r="O90" s="74" t="s">
        <v>221</v>
      </c>
      <c r="P90" s="74" t="s">
        <v>221</v>
      </c>
      <c r="Q90" s="81">
        <v>14422</v>
      </c>
      <c r="R90" s="74" t="s">
        <v>222</v>
      </c>
      <c r="S90" s="79">
        <f>(Q90-AA90)/Q90</f>
        <v>-5.0339758701983081E-2</v>
      </c>
      <c r="T90" s="80">
        <f t="shared" si="8"/>
        <v>14422</v>
      </c>
      <c r="U90" s="81">
        <v>4209</v>
      </c>
      <c r="V90" s="81">
        <v>1096</v>
      </c>
      <c r="W90" s="81">
        <v>8811</v>
      </c>
      <c r="X90" s="81">
        <v>11181</v>
      </c>
      <c r="Y90" s="81">
        <v>10611</v>
      </c>
      <c r="Z90" s="81">
        <v>15318</v>
      </c>
      <c r="AA90" s="81">
        <v>15148</v>
      </c>
      <c r="AB90" s="80">
        <v>9575</v>
      </c>
      <c r="AC90" s="80" t="s">
        <v>222</v>
      </c>
      <c r="AD90" s="80">
        <f>Q90/100*69</f>
        <v>9951.18</v>
      </c>
      <c r="AE90" s="86">
        <v>4847</v>
      </c>
      <c r="AF90" s="80" t="s">
        <v>222</v>
      </c>
      <c r="AG90" s="81" t="s">
        <v>75</v>
      </c>
      <c r="AH90" s="86">
        <v>104</v>
      </c>
      <c r="AI90" s="86">
        <v>2382</v>
      </c>
      <c r="AJ90" s="80" t="s">
        <v>222</v>
      </c>
      <c r="AK90" s="80">
        <v>57</v>
      </c>
      <c r="AL90" s="86">
        <v>502</v>
      </c>
      <c r="AM90" s="86">
        <v>6</v>
      </c>
      <c r="AN90" s="80" t="s">
        <v>222</v>
      </c>
      <c r="AO90" s="74">
        <v>38</v>
      </c>
      <c r="AP90" s="86">
        <v>1851</v>
      </c>
      <c r="AQ90" s="80" t="s">
        <v>222</v>
      </c>
      <c r="AR90" s="74">
        <v>2</v>
      </c>
      <c r="AS90" s="86">
        <v>291</v>
      </c>
      <c r="AT90" s="80" t="s">
        <v>222</v>
      </c>
      <c r="AU90" s="80" t="s">
        <v>6</v>
      </c>
      <c r="AV90" s="80" t="s">
        <v>6</v>
      </c>
      <c r="AW90" s="86" t="s">
        <v>379</v>
      </c>
      <c r="AX90" s="80" t="s">
        <v>6</v>
      </c>
      <c r="AY90" s="88">
        <v>3973</v>
      </c>
      <c r="AZ90" s="74" t="s">
        <v>221</v>
      </c>
      <c r="BA90" s="92" t="s">
        <v>266</v>
      </c>
      <c r="BB90" s="92" t="s">
        <v>266</v>
      </c>
      <c r="BC90" s="71" t="s">
        <v>221</v>
      </c>
      <c r="BD90" s="74">
        <v>58</v>
      </c>
      <c r="BE90" s="74">
        <v>38</v>
      </c>
      <c r="BF90" s="74">
        <v>42</v>
      </c>
      <c r="BG90" s="111">
        <v>769</v>
      </c>
      <c r="BH90" s="74" t="s">
        <v>222</v>
      </c>
      <c r="BI90" s="96">
        <f>BG90/7*50</f>
        <v>5492.8571428571431</v>
      </c>
      <c r="BJ90" s="111">
        <v>170</v>
      </c>
      <c r="BK90" s="111">
        <v>442</v>
      </c>
      <c r="BL90" s="74">
        <v>8</v>
      </c>
      <c r="BM90" s="74">
        <v>2</v>
      </c>
      <c r="BN90" s="74" t="s">
        <v>223</v>
      </c>
      <c r="BO90" s="74">
        <v>3</v>
      </c>
      <c r="BP90" s="74">
        <v>2</v>
      </c>
      <c r="BQ90" s="104" t="s">
        <v>266</v>
      </c>
      <c r="BR90" s="104" t="s">
        <v>380</v>
      </c>
      <c r="BS90" s="71">
        <f>AD90/100*(44)*17.99</f>
        <v>78769.560408000005</v>
      </c>
      <c r="BT90" s="71">
        <f>AD90/100*(56)*35.98</f>
        <v>200504.33558400001</v>
      </c>
      <c r="BU90" s="71">
        <v>236797.6875</v>
      </c>
      <c r="BV90" s="96">
        <f t="shared" si="5"/>
        <v>516071.58349200001</v>
      </c>
      <c r="BW90" s="101">
        <f>BM90*(1-0.25)*(1-0.26)*(1-0.25)*1.2</f>
        <v>0.99899999999999989</v>
      </c>
      <c r="BX90" s="101">
        <f>SUBTOTAL(9,BM90,BW90)</f>
        <v>2.9989999999999997</v>
      </c>
    </row>
    <row r="91" spans="1:82" customFormat="1" ht="75" x14ac:dyDescent="0.25">
      <c r="A91" s="110" t="s">
        <v>186</v>
      </c>
      <c r="B91" s="5">
        <v>775</v>
      </c>
      <c r="C91" s="8" t="s">
        <v>4</v>
      </c>
      <c r="D91" s="8" t="s">
        <v>5</v>
      </c>
      <c r="E91" s="76" t="s">
        <v>174</v>
      </c>
      <c r="F91" s="76"/>
      <c r="G91" s="77" t="s">
        <v>6</v>
      </c>
      <c r="H91" s="77" t="s">
        <v>6</v>
      </c>
      <c r="I91" s="8" t="s">
        <v>7</v>
      </c>
      <c r="J91" s="74" t="s">
        <v>7</v>
      </c>
      <c r="K91" s="74" t="s">
        <v>527</v>
      </c>
      <c r="L91" s="90" t="s">
        <v>600</v>
      </c>
      <c r="M91" s="81">
        <v>1666</v>
      </c>
      <c r="N91" s="75" t="s">
        <v>6</v>
      </c>
      <c r="O91" s="75" t="s">
        <v>221</v>
      </c>
      <c r="P91" s="75" t="s">
        <v>6</v>
      </c>
      <c r="Q91" s="81">
        <v>32082</v>
      </c>
      <c r="R91" s="74" t="s">
        <v>222</v>
      </c>
      <c r="S91" s="79">
        <f>(Q91-AA91)/Q91</f>
        <v>-0.16146125553269747</v>
      </c>
      <c r="T91" s="80">
        <f t="shared" si="8"/>
        <v>32082</v>
      </c>
      <c r="U91" s="81">
        <v>25000</v>
      </c>
      <c r="V91" s="81">
        <v>30312</v>
      </c>
      <c r="W91" s="81">
        <v>36000</v>
      </c>
      <c r="X91" s="81"/>
      <c r="Y91" s="81"/>
      <c r="Z91" s="81"/>
      <c r="AA91" s="81">
        <v>37262</v>
      </c>
      <c r="AB91" s="80" t="s">
        <v>75</v>
      </c>
      <c r="AC91" s="80" t="s">
        <v>75</v>
      </c>
      <c r="AD91" s="80">
        <f>Q91/100*69</f>
        <v>22136.579999999998</v>
      </c>
      <c r="AE91" s="86" t="s">
        <v>75</v>
      </c>
      <c r="AF91" s="80" t="s">
        <v>75</v>
      </c>
      <c r="AG91" s="81" t="s">
        <v>75</v>
      </c>
      <c r="AH91" s="86">
        <v>21</v>
      </c>
      <c r="AI91" s="86">
        <v>1528</v>
      </c>
      <c r="AJ91" s="80" t="s">
        <v>222</v>
      </c>
      <c r="AK91" s="80" t="s">
        <v>75</v>
      </c>
      <c r="AL91" s="86" t="s">
        <v>75</v>
      </c>
      <c r="AM91" s="86">
        <v>30</v>
      </c>
      <c r="AN91" s="80" t="s">
        <v>223</v>
      </c>
      <c r="AO91" s="75" t="s">
        <v>75</v>
      </c>
      <c r="AP91" s="86">
        <v>550</v>
      </c>
      <c r="AQ91" s="80" t="s">
        <v>223</v>
      </c>
      <c r="AR91" s="75" t="s">
        <v>75</v>
      </c>
      <c r="AS91" s="86" t="s">
        <v>75</v>
      </c>
      <c r="AT91" s="80" t="s">
        <v>75</v>
      </c>
      <c r="AU91" s="80" t="s">
        <v>6</v>
      </c>
      <c r="AV91" s="80" t="s">
        <v>6</v>
      </c>
      <c r="AW91" s="86">
        <v>42245</v>
      </c>
      <c r="AX91" s="80" t="s">
        <v>6</v>
      </c>
      <c r="AY91" s="88" t="s">
        <v>381</v>
      </c>
      <c r="AZ91" s="75" t="s">
        <v>6</v>
      </c>
      <c r="BA91" s="92">
        <v>8.25</v>
      </c>
      <c r="BB91" s="92">
        <v>4.7</v>
      </c>
      <c r="BC91" s="71" t="s">
        <v>6</v>
      </c>
      <c r="BD91" s="74">
        <v>120</v>
      </c>
      <c r="BE91" s="74"/>
      <c r="BF91" s="74">
        <v>185</v>
      </c>
      <c r="BG91" s="111">
        <v>42000</v>
      </c>
      <c r="BH91" s="74" t="s">
        <v>223</v>
      </c>
      <c r="BI91" s="96">
        <f>BG91/7*50</f>
        <v>300000</v>
      </c>
      <c r="BJ91" s="111"/>
      <c r="BK91" s="111">
        <v>32000</v>
      </c>
      <c r="BL91" s="74">
        <v>19</v>
      </c>
      <c r="BM91" s="74">
        <v>7.5</v>
      </c>
      <c r="BN91" s="74" t="s">
        <v>222</v>
      </c>
      <c r="BO91" s="74">
        <v>21</v>
      </c>
      <c r="BP91" s="74">
        <v>12</v>
      </c>
      <c r="BQ91" s="106" t="s">
        <v>383</v>
      </c>
      <c r="BR91" s="106" t="s">
        <v>75</v>
      </c>
      <c r="BS91" s="71">
        <f>AD91/100*(44)*12.86</f>
        <v>125257.62427199999</v>
      </c>
      <c r="BT91" s="71">
        <f>AD91/100*(56)*25.73</f>
        <v>318961.55390399997</v>
      </c>
      <c r="BU91" s="71">
        <v>312128.36249999999</v>
      </c>
      <c r="BV91" s="96">
        <f t="shared" si="5"/>
        <v>756347.54067599995</v>
      </c>
      <c r="BW91" s="102">
        <f>BM91*(1-0.25)*(1-0.26)*(1-0.25)*1.2</f>
        <v>3.7462499999999994</v>
      </c>
      <c r="BX91" s="102">
        <f>SUBTOTAL(9,BM91,BW91)</f>
        <v>11.24625</v>
      </c>
    </row>
    <row r="92" spans="1:82" customFormat="1" ht="45" x14ac:dyDescent="0.25">
      <c r="A92" s="110" t="s">
        <v>626</v>
      </c>
      <c r="B92" s="5">
        <v>733</v>
      </c>
      <c r="C92" s="8" t="s">
        <v>4</v>
      </c>
      <c r="D92" s="8" t="s">
        <v>5</v>
      </c>
      <c r="E92" s="76" t="s">
        <v>137</v>
      </c>
      <c r="F92" s="94" t="s">
        <v>141</v>
      </c>
      <c r="G92" s="77" t="s">
        <v>214</v>
      </c>
      <c r="H92" s="77" t="s">
        <v>6</v>
      </c>
      <c r="I92" s="8" t="s">
        <v>9</v>
      </c>
      <c r="J92" s="75" t="s">
        <v>9</v>
      </c>
      <c r="K92" s="75" t="s">
        <v>527</v>
      </c>
      <c r="L92" s="122" t="s">
        <v>599</v>
      </c>
      <c r="M92" s="81" t="s">
        <v>549</v>
      </c>
      <c r="N92" s="74" t="s">
        <v>221</v>
      </c>
      <c r="O92" s="74" t="s">
        <v>221</v>
      </c>
      <c r="P92" s="74" t="s">
        <v>221</v>
      </c>
      <c r="Q92" s="81">
        <v>14271</v>
      </c>
      <c r="R92" s="74" t="s">
        <v>75</v>
      </c>
      <c r="S92" s="79">
        <f>(Q92-AA92)/Q92</f>
        <v>-5.521687337958097E-2</v>
      </c>
      <c r="T92" s="80">
        <f t="shared" si="8"/>
        <v>14271</v>
      </c>
      <c r="U92" s="81"/>
      <c r="V92" s="81"/>
      <c r="W92" s="81"/>
      <c r="X92" s="81"/>
      <c r="Y92" s="81">
        <v>16473</v>
      </c>
      <c r="Z92" s="81">
        <v>14707</v>
      </c>
      <c r="AA92" s="81">
        <v>15059</v>
      </c>
      <c r="AB92" s="80">
        <v>9810</v>
      </c>
      <c r="AC92" s="80" t="s">
        <v>75</v>
      </c>
      <c r="AD92" s="80">
        <f>Q92/100*69</f>
        <v>9846.99</v>
      </c>
      <c r="AE92" s="86">
        <v>4381</v>
      </c>
      <c r="AF92" s="80" t="s">
        <v>75</v>
      </c>
      <c r="AG92" s="81" t="s">
        <v>221</v>
      </c>
      <c r="AH92" s="86">
        <v>11</v>
      </c>
      <c r="AI92" s="86">
        <v>458</v>
      </c>
      <c r="AJ92" s="80" t="s">
        <v>75</v>
      </c>
      <c r="AK92" s="80">
        <v>0</v>
      </c>
      <c r="AL92" s="86">
        <v>0</v>
      </c>
      <c r="AM92" s="86">
        <v>0</v>
      </c>
      <c r="AN92" s="80" t="s">
        <v>75</v>
      </c>
      <c r="AO92" s="74">
        <v>0</v>
      </c>
      <c r="AP92" s="86">
        <v>0</v>
      </c>
      <c r="AQ92" s="80" t="s">
        <v>75</v>
      </c>
      <c r="AR92" s="74" t="s">
        <v>75</v>
      </c>
      <c r="AS92" s="86" t="s">
        <v>75</v>
      </c>
      <c r="AT92" s="80" t="s">
        <v>75</v>
      </c>
      <c r="AU92" s="80" t="s">
        <v>6</v>
      </c>
      <c r="AV92" s="80" t="s">
        <v>75</v>
      </c>
      <c r="AW92" s="86" t="s">
        <v>75</v>
      </c>
      <c r="AX92" s="80" t="s">
        <v>6</v>
      </c>
      <c r="AY92" s="88">
        <v>8295</v>
      </c>
      <c r="AZ92" s="74" t="s">
        <v>6</v>
      </c>
      <c r="BA92" s="92">
        <v>5.7</v>
      </c>
      <c r="BB92" s="92">
        <v>4.55</v>
      </c>
      <c r="BC92" s="71" t="s">
        <v>75</v>
      </c>
      <c r="BD92" s="74" t="s">
        <v>75</v>
      </c>
      <c r="BE92" s="74"/>
      <c r="BF92" s="74" t="s">
        <v>611</v>
      </c>
      <c r="BG92" s="111" t="s">
        <v>75</v>
      </c>
      <c r="BH92" s="74" t="s">
        <v>75</v>
      </c>
      <c r="BI92" s="96"/>
      <c r="BJ92" s="111"/>
      <c r="BK92" s="111" t="s">
        <v>611</v>
      </c>
      <c r="BL92" s="74" t="s">
        <v>75</v>
      </c>
      <c r="BM92" s="74" t="s">
        <v>75</v>
      </c>
      <c r="BN92" s="74" t="s">
        <v>75</v>
      </c>
      <c r="BO92" s="75" t="s">
        <v>611</v>
      </c>
      <c r="BP92" s="75" t="s">
        <v>611</v>
      </c>
      <c r="BQ92" s="104" t="s">
        <v>75</v>
      </c>
      <c r="BR92" s="104" t="s">
        <v>75</v>
      </c>
      <c r="BS92" s="71">
        <f>AD92/100*(44)*14.08</f>
        <v>61004.072447999992</v>
      </c>
      <c r="BT92" s="71">
        <f>AD92/100*(56)*28.16</f>
        <v>155283.09350399999</v>
      </c>
      <c r="BU92" s="71"/>
      <c r="BV92" s="96">
        <f t="shared" si="5"/>
        <v>216287.16595199998</v>
      </c>
      <c r="BW92" s="101"/>
      <c r="BX92" s="101">
        <f>SUBTOTAL(9,BM92,BW92)</f>
        <v>0</v>
      </c>
    </row>
    <row r="93" spans="1:82" customFormat="1" ht="90" x14ac:dyDescent="0.25">
      <c r="A93" s="113" t="s">
        <v>99</v>
      </c>
      <c r="B93" s="5">
        <v>2122</v>
      </c>
      <c r="C93" s="8" t="s">
        <v>4</v>
      </c>
      <c r="D93" s="8" t="s">
        <v>5</v>
      </c>
      <c r="E93" s="8" t="s">
        <v>68</v>
      </c>
      <c r="F93" s="8"/>
      <c r="G93" s="77" t="s">
        <v>214</v>
      </c>
      <c r="H93" s="77"/>
      <c r="I93" s="8" t="s">
        <v>7</v>
      </c>
      <c r="J93" s="74" t="s">
        <v>7</v>
      </c>
      <c r="K93" s="74" t="s">
        <v>527</v>
      </c>
      <c r="L93" s="90" t="s">
        <v>601</v>
      </c>
      <c r="M93" s="81">
        <v>1446</v>
      </c>
      <c r="N93" s="74" t="s">
        <v>6</v>
      </c>
      <c r="O93" s="74" t="s">
        <v>221</v>
      </c>
      <c r="P93" s="74" t="s">
        <v>6</v>
      </c>
      <c r="Q93" s="81">
        <v>15443</v>
      </c>
      <c r="R93" s="74" t="s">
        <v>223</v>
      </c>
      <c r="S93" s="79"/>
      <c r="T93" s="80">
        <f t="shared" si="8"/>
        <v>15443</v>
      </c>
      <c r="U93" s="81"/>
      <c r="V93" s="81"/>
      <c r="W93" s="81"/>
      <c r="X93" s="81"/>
      <c r="Y93" s="81"/>
      <c r="Z93" s="81"/>
      <c r="AA93" s="81"/>
      <c r="AB93" s="80">
        <v>10898</v>
      </c>
      <c r="AC93" s="80" t="s">
        <v>223</v>
      </c>
      <c r="AD93" s="80">
        <f>Q93/100*69</f>
        <v>10655.67</v>
      </c>
      <c r="AE93" s="86">
        <v>4545</v>
      </c>
      <c r="AF93" s="80" t="s">
        <v>223</v>
      </c>
      <c r="AG93" s="81" t="s">
        <v>221</v>
      </c>
      <c r="AH93" s="86">
        <v>16</v>
      </c>
      <c r="AI93" s="86">
        <v>563</v>
      </c>
      <c r="AJ93" s="80" t="s">
        <v>222</v>
      </c>
      <c r="AK93" s="80">
        <v>0</v>
      </c>
      <c r="AL93" s="86">
        <v>0</v>
      </c>
      <c r="AM93" s="86">
        <v>14</v>
      </c>
      <c r="AN93" s="80" t="s">
        <v>222</v>
      </c>
      <c r="AO93" s="74">
        <v>28</v>
      </c>
      <c r="AP93" s="86">
        <v>380</v>
      </c>
      <c r="AQ93" s="80" t="s">
        <v>222</v>
      </c>
      <c r="AR93" s="74">
        <v>0</v>
      </c>
      <c r="AS93" s="86">
        <v>0</v>
      </c>
      <c r="AT93" s="80" t="s">
        <v>222</v>
      </c>
      <c r="AU93" s="80" t="s">
        <v>6</v>
      </c>
      <c r="AV93" s="80" t="s">
        <v>6</v>
      </c>
      <c r="AW93" s="86">
        <v>2400</v>
      </c>
      <c r="AX93" s="80" t="s">
        <v>6</v>
      </c>
      <c r="AY93" s="88">
        <v>2129</v>
      </c>
      <c r="AZ93" s="74" t="s">
        <v>6</v>
      </c>
      <c r="BA93" s="92">
        <v>5</v>
      </c>
      <c r="BB93" s="92">
        <v>2</v>
      </c>
      <c r="BC93" s="71" t="s">
        <v>221</v>
      </c>
      <c r="BD93" s="74">
        <v>60</v>
      </c>
      <c r="BE93" s="74"/>
      <c r="BF93" s="74"/>
      <c r="BG93" s="111">
        <v>24500</v>
      </c>
      <c r="BH93" s="74" t="s">
        <v>223</v>
      </c>
      <c r="BI93" s="96">
        <f>BG93/7*50</f>
        <v>175000</v>
      </c>
      <c r="BJ93" s="111"/>
      <c r="BK93" s="111"/>
      <c r="BL93" s="74">
        <v>1</v>
      </c>
      <c r="BM93" s="74">
        <v>1</v>
      </c>
      <c r="BN93" s="74" t="s">
        <v>75</v>
      </c>
      <c r="BO93" s="74"/>
      <c r="BP93" s="74"/>
      <c r="BQ93" s="104" t="s">
        <v>384</v>
      </c>
      <c r="BR93" s="104" t="s">
        <v>385</v>
      </c>
      <c r="BS93" s="71">
        <f>AD93/100*(44)*12.91</f>
        <v>60528.467868000007</v>
      </c>
      <c r="BT93" s="71">
        <f>AD93/100*(56)*25.82</f>
        <v>154072.46366400001</v>
      </c>
      <c r="BU93" s="71">
        <v>91899.625</v>
      </c>
      <c r="BV93" s="96">
        <f t="shared" si="5"/>
        <v>306500.55653200002</v>
      </c>
      <c r="BW93" s="101">
        <f>BM93*(1-0.25)*(1-0.26)*(1-0.25)*1.2</f>
        <v>0.49949999999999994</v>
      </c>
      <c r="BX93" s="101">
        <f>SUBTOTAL(9,BM93,BW93)</f>
        <v>1.4994999999999998</v>
      </c>
    </row>
    <row r="94" spans="1:82" customFormat="1" ht="45" customHeight="1" x14ac:dyDescent="0.25">
      <c r="A94" s="18" t="s">
        <v>122</v>
      </c>
      <c r="B94" s="5">
        <v>725</v>
      </c>
      <c r="C94" s="8" t="s">
        <v>30</v>
      </c>
      <c r="D94" s="8" t="s">
        <v>5</v>
      </c>
      <c r="E94" s="8" t="s">
        <v>109</v>
      </c>
      <c r="F94" s="8" t="s">
        <v>121</v>
      </c>
      <c r="G94" s="77" t="s">
        <v>6</v>
      </c>
      <c r="H94" s="77"/>
      <c r="I94" s="8" t="s">
        <v>9</v>
      </c>
      <c r="J94" s="74"/>
      <c r="K94" s="74" t="s">
        <v>390</v>
      </c>
      <c r="L94" s="90" t="s">
        <v>603</v>
      </c>
      <c r="M94" s="81"/>
      <c r="N94" s="74"/>
      <c r="O94" s="74"/>
      <c r="P94" s="74"/>
      <c r="Q94" s="81" t="s">
        <v>390</v>
      </c>
      <c r="R94" s="74"/>
      <c r="S94" s="79"/>
      <c r="T94" s="80"/>
      <c r="U94" s="81"/>
      <c r="V94" s="81"/>
      <c r="W94" s="81">
        <v>19589</v>
      </c>
      <c r="X94" s="81">
        <v>16239</v>
      </c>
      <c r="Y94" s="81">
        <v>14457</v>
      </c>
      <c r="Z94" s="81">
        <v>17244</v>
      </c>
      <c r="AA94" s="81" t="s">
        <v>390</v>
      </c>
      <c r="AB94" s="80"/>
      <c r="AC94" s="80"/>
      <c r="AD94" s="80"/>
      <c r="AE94" s="86"/>
      <c r="AF94" s="80"/>
      <c r="AG94" s="81"/>
      <c r="AH94" s="86"/>
      <c r="AI94" s="86"/>
      <c r="AJ94" s="80"/>
      <c r="AK94" s="80"/>
      <c r="AL94" s="86"/>
      <c r="AM94" s="86"/>
      <c r="AN94" s="80"/>
      <c r="AO94" s="74"/>
      <c r="AP94" s="86"/>
      <c r="AQ94" s="80"/>
      <c r="AR94" s="74"/>
      <c r="AS94" s="86"/>
      <c r="AT94" s="80"/>
      <c r="AU94" s="80" t="s">
        <v>6</v>
      </c>
      <c r="AV94" s="80"/>
      <c r="AW94" s="86"/>
      <c r="AX94" s="80"/>
      <c r="AY94" s="88"/>
      <c r="AZ94" s="74" t="s">
        <v>625</v>
      </c>
      <c r="BA94" s="92"/>
      <c r="BB94" s="92"/>
      <c r="BC94" s="71"/>
      <c r="BD94" s="74"/>
      <c r="BE94" s="74"/>
      <c r="BF94" s="74"/>
      <c r="BG94" s="111"/>
      <c r="BH94" s="74"/>
      <c r="BI94" s="96">
        <f>BG94/7*50</f>
        <v>0</v>
      </c>
      <c r="BJ94" s="111"/>
      <c r="BK94" s="111"/>
      <c r="BL94" s="74"/>
      <c r="BM94" s="74"/>
      <c r="BN94" s="74"/>
      <c r="BO94" s="74"/>
      <c r="BP94" s="74"/>
      <c r="BQ94" s="104"/>
      <c r="BR94" s="104" t="s">
        <v>75</v>
      </c>
      <c r="BS94" s="71"/>
      <c r="BT94" s="71"/>
      <c r="BU94" s="71"/>
      <c r="BV94" s="96">
        <f t="shared" si="5"/>
        <v>0</v>
      </c>
      <c r="BW94" s="101"/>
      <c r="BX94" s="101"/>
    </row>
    <row r="95" spans="1:82" customFormat="1" ht="75" x14ac:dyDescent="0.25">
      <c r="A95" s="110" t="s">
        <v>166</v>
      </c>
      <c r="B95" s="5">
        <v>1943</v>
      </c>
      <c r="C95" s="8" t="s">
        <v>4</v>
      </c>
      <c r="D95" s="8" t="s">
        <v>5</v>
      </c>
      <c r="E95" s="76" t="s">
        <v>137</v>
      </c>
      <c r="F95" s="94"/>
      <c r="G95" s="77" t="s">
        <v>214</v>
      </c>
      <c r="H95" s="77" t="s">
        <v>6</v>
      </c>
      <c r="I95" s="8" t="s">
        <v>7</v>
      </c>
      <c r="J95" s="74" t="s">
        <v>7</v>
      </c>
      <c r="K95" s="74" t="s">
        <v>526</v>
      </c>
      <c r="L95" s="90" t="s">
        <v>600</v>
      </c>
      <c r="M95" s="81" t="s">
        <v>581</v>
      </c>
      <c r="N95" s="74" t="s">
        <v>6</v>
      </c>
      <c r="O95" s="74" t="s">
        <v>6</v>
      </c>
      <c r="P95" s="74" t="s">
        <v>221</v>
      </c>
      <c r="Q95" s="81">
        <v>7223</v>
      </c>
      <c r="R95" s="74" t="s">
        <v>222</v>
      </c>
      <c r="S95" s="79">
        <f>(Q95-AA95)/Q95</f>
        <v>-0.21376159490516405</v>
      </c>
      <c r="T95" s="80">
        <f t="shared" ref="T95:T100" si="9">AVERAGE(Q95:Q95)</f>
        <v>7223</v>
      </c>
      <c r="U95" s="81">
        <v>7289</v>
      </c>
      <c r="V95" s="81">
        <v>9267</v>
      </c>
      <c r="W95" s="81">
        <v>7983</v>
      </c>
      <c r="X95" s="81">
        <v>8006</v>
      </c>
      <c r="Y95" s="81">
        <v>7568</v>
      </c>
      <c r="Z95" s="81">
        <v>7577</v>
      </c>
      <c r="AA95" s="81">
        <v>8767</v>
      </c>
      <c r="AB95" s="80">
        <v>6367</v>
      </c>
      <c r="AC95" s="80" t="s">
        <v>222</v>
      </c>
      <c r="AD95" s="80">
        <f>Q95/100*75</f>
        <v>5417.25</v>
      </c>
      <c r="AE95" s="86">
        <v>856</v>
      </c>
      <c r="AF95" s="80" t="s">
        <v>222</v>
      </c>
      <c r="AG95" s="81" t="s">
        <v>282</v>
      </c>
      <c r="AH95" s="86">
        <v>0</v>
      </c>
      <c r="AI95" s="86">
        <v>0</v>
      </c>
      <c r="AJ95" s="80" t="s">
        <v>222</v>
      </c>
      <c r="AK95" s="80">
        <v>0</v>
      </c>
      <c r="AL95" s="86">
        <v>0</v>
      </c>
      <c r="AM95" s="86">
        <v>0</v>
      </c>
      <c r="AN95" s="80" t="s">
        <v>222</v>
      </c>
      <c r="AO95" s="74">
        <v>3</v>
      </c>
      <c r="AP95" s="86">
        <v>100</v>
      </c>
      <c r="AQ95" s="80" t="s">
        <v>223</v>
      </c>
      <c r="AR95" s="74">
        <v>10</v>
      </c>
      <c r="AS95" s="86">
        <v>300</v>
      </c>
      <c r="AT95" s="80" t="s">
        <v>223</v>
      </c>
      <c r="AU95" s="80" t="s">
        <v>6</v>
      </c>
      <c r="AV95" s="80" t="s">
        <v>6</v>
      </c>
      <c r="AW95" s="86" t="s">
        <v>582</v>
      </c>
      <c r="AX95" s="80" t="s">
        <v>6</v>
      </c>
      <c r="AY95" s="88">
        <v>4013</v>
      </c>
      <c r="AZ95" s="74" t="s">
        <v>6</v>
      </c>
      <c r="BA95" s="92">
        <v>5</v>
      </c>
      <c r="BB95" s="92">
        <v>2.5</v>
      </c>
      <c r="BC95" s="71" t="s">
        <v>221</v>
      </c>
      <c r="BD95" s="74">
        <v>80</v>
      </c>
      <c r="BE95" s="74">
        <v>65</v>
      </c>
      <c r="BF95" s="74"/>
      <c r="BG95" s="111">
        <v>8000</v>
      </c>
      <c r="BH95" s="74" t="s">
        <v>223</v>
      </c>
      <c r="BI95" s="96">
        <f>BG95/7*50</f>
        <v>57142.857142857145</v>
      </c>
      <c r="BJ95" s="111"/>
      <c r="BK95" s="111"/>
      <c r="BL95" s="74">
        <v>2</v>
      </c>
      <c r="BM95" s="74">
        <v>0.68</v>
      </c>
      <c r="BN95" s="74" t="s">
        <v>222</v>
      </c>
      <c r="BO95" s="74" t="s">
        <v>75</v>
      </c>
      <c r="BP95" s="74" t="s">
        <v>75</v>
      </c>
      <c r="BQ95" s="104" t="s">
        <v>584</v>
      </c>
      <c r="BR95" s="104" t="s">
        <v>585</v>
      </c>
      <c r="BS95" s="71">
        <f>AD95/100*(47)*14.08</f>
        <v>35849.193599999999</v>
      </c>
      <c r="BT95" s="71">
        <f>AD95/100*(53)*28.16</f>
        <v>80851.372799999997</v>
      </c>
      <c r="BU95" s="71">
        <v>74716.608749999999</v>
      </c>
      <c r="BV95" s="96">
        <f t="shared" si="5"/>
        <v>191417.17515</v>
      </c>
      <c r="BW95" s="101">
        <f>BM95*(1-0.25)*(1-0.21)*(1-0.25)*1.2</f>
        <v>0.36261000000000004</v>
      </c>
      <c r="BX95" s="101">
        <f>SUBTOTAL(9,BM95,BW95)</f>
        <v>1.04261</v>
      </c>
      <c r="BY95" s="28"/>
      <c r="BZ95" s="28"/>
      <c r="CA95" s="28"/>
      <c r="CB95" s="28"/>
      <c r="CC95" s="28"/>
      <c r="CD95" s="28"/>
    </row>
    <row r="96" spans="1:82" customFormat="1" ht="75" x14ac:dyDescent="0.25">
      <c r="A96" s="18" t="s">
        <v>179</v>
      </c>
      <c r="B96" s="5">
        <v>594</v>
      </c>
      <c r="C96" s="8" t="s">
        <v>4</v>
      </c>
      <c r="D96" s="8" t="s">
        <v>5</v>
      </c>
      <c r="E96" s="76" t="s">
        <v>174</v>
      </c>
      <c r="F96" s="76"/>
      <c r="G96" s="77" t="s">
        <v>214</v>
      </c>
      <c r="H96" s="77"/>
      <c r="I96" s="8" t="s">
        <v>7</v>
      </c>
      <c r="J96" s="74" t="s">
        <v>7</v>
      </c>
      <c r="K96" s="74" t="s">
        <v>527</v>
      </c>
      <c r="L96" s="90" t="s">
        <v>599</v>
      </c>
      <c r="M96" s="81" t="s">
        <v>595</v>
      </c>
      <c r="N96" s="74" t="s">
        <v>6</v>
      </c>
      <c r="O96" s="74" t="s">
        <v>221</v>
      </c>
      <c r="P96" s="74" t="s">
        <v>6</v>
      </c>
      <c r="Q96" s="81">
        <v>14487</v>
      </c>
      <c r="R96" s="74" t="s">
        <v>223</v>
      </c>
      <c r="S96" s="79"/>
      <c r="T96" s="80">
        <f t="shared" si="9"/>
        <v>14487</v>
      </c>
      <c r="U96" s="81">
        <v>10329</v>
      </c>
      <c r="V96" s="81">
        <v>8975</v>
      </c>
      <c r="W96" s="81">
        <v>10096</v>
      </c>
      <c r="X96" s="81">
        <v>12152</v>
      </c>
      <c r="Y96" s="81">
        <v>13655</v>
      </c>
      <c r="Z96" s="81">
        <v>12973</v>
      </c>
      <c r="AA96" s="81"/>
      <c r="AB96" s="80">
        <v>11566</v>
      </c>
      <c r="AC96" s="80" t="s">
        <v>223</v>
      </c>
      <c r="AD96" s="80">
        <f>Q96/100*69</f>
        <v>9996.0300000000007</v>
      </c>
      <c r="AE96" s="86">
        <v>2921</v>
      </c>
      <c r="AF96" s="80" t="s">
        <v>223</v>
      </c>
      <c r="AG96" s="81" t="s">
        <v>596</v>
      </c>
      <c r="AH96" s="86">
        <v>41</v>
      </c>
      <c r="AI96" s="86">
        <v>1166</v>
      </c>
      <c r="AJ96" s="80" t="s">
        <v>222</v>
      </c>
      <c r="AK96" s="80">
        <v>2</v>
      </c>
      <c r="AL96" s="86">
        <v>200</v>
      </c>
      <c r="AM96" s="86">
        <v>15</v>
      </c>
      <c r="AN96" s="80" t="s">
        <v>222</v>
      </c>
      <c r="AO96" s="74">
        <v>10</v>
      </c>
      <c r="AP96" s="86">
        <v>300</v>
      </c>
      <c r="AQ96" s="80" t="s">
        <v>223</v>
      </c>
      <c r="AR96" s="74">
        <v>15</v>
      </c>
      <c r="AS96" s="86">
        <v>2250</v>
      </c>
      <c r="AT96" s="80" t="s">
        <v>223</v>
      </c>
      <c r="AU96" s="80" t="s">
        <v>6</v>
      </c>
      <c r="AV96" s="80" t="s">
        <v>6</v>
      </c>
      <c r="AW96" s="86">
        <v>47914</v>
      </c>
      <c r="AX96" s="80" t="s">
        <v>6</v>
      </c>
      <c r="AY96" s="88">
        <v>6402</v>
      </c>
      <c r="AZ96" s="74" t="s">
        <v>6</v>
      </c>
      <c r="BA96" s="92">
        <v>16.5</v>
      </c>
      <c r="BB96" s="92">
        <v>9.5</v>
      </c>
      <c r="BC96" s="71" t="s">
        <v>221</v>
      </c>
      <c r="BD96" s="74">
        <v>178</v>
      </c>
      <c r="BE96" s="74"/>
      <c r="BF96" s="74"/>
      <c r="BG96" s="111">
        <v>4539.25</v>
      </c>
      <c r="BH96" s="74" t="s">
        <v>222</v>
      </c>
      <c r="BI96" s="96">
        <f>BG96/7*50</f>
        <v>32423.214285714283</v>
      </c>
      <c r="BJ96" s="111"/>
      <c r="BK96" s="111"/>
      <c r="BL96" s="74">
        <v>53</v>
      </c>
      <c r="BM96" s="74">
        <v>36</v>
      </c>
      <c r="BN96" s="74" t="s">
        <v>222</v>
      </c>
      <c r="BO96" s="74"/>
      <c r="BP96" s="74"/>
      <c r="BQ96" s="104" t="s">
        <v>597</v>
      </c>
      <c r="BR96" s="104" t="s">
        <v>598</v>
      </c>
      <c r="BS96" s="71">
        <f>AD96/100*(44)*12.86</f>
        <v>56561.536152000001</v>
      </c>
      <c r="BT96" s="71">
        <f>AD96/100*(56)*25.73</f>
        <v>144030.79706400001</v>
      </c>
      <c r="BU96" s="71">
        <v>933731.48750000005</v>
      </c>
      <c r="BV96" s="96">
        <f t="shared" si="5"/>
        <v>1134323.8207160002</v>
      </c>
      <c r="BW96" s="101">
        <f>BM96*(1-0.25)*(1-0.26)*(1-0.25)*1.2</f>
        <v>17.981999999999999</v>
      </c>
      <c r="BX96" s="101">
        <f>SUBTOTAL(9,BM96,BW96)</f>
        <v>53.981999999999999</v>
      </c>
      <c r="BY96" s="28"/>
      <c r="BZ96" s="28"/>
      <c r="CA96" s="28"/>
    </row>
    <row r="97" spans="1:85" customFormat="1" ht="45" customHeight="1" x14ac:dyDescent="0.25">
      <c r="A97" s="18" t="s">
        <v>132</v>
      </c>
      <c r="B97" s="5">
        <v>2067</v>
      </c>
      <c r="C97" s="8" t="s">
        <v>4</v>
      </c>
      <c r="D97" s="8" t="s">
        <v>5</v>
      </c>
      <c r="E97" s="8" t="s">
        <v>109</v>
      </c>
      <c r="F97" s="8"/>
      <c r="G97" s="77" t="s">
        <v>6</v>
      </c>
      <c r="H97" s="77" t="s">
        <v>6</v>
      </c>
      <c r="I97" s="8" t="s">
        <v>58</v>
      </c>
      <c r="J97" s="74" t="s">
        <v>58</v>
      </c>
      <c r="K97" s="74" t="s">
        <v>529</v>
      </c>
      <c r="L97" s="90" t="s">
        <v>599</v>
      </c>
      <c r="M97" s="81">
        <v>2652</v>
      </c>
      <c r="N97" s="74" t="s">
        <v>6</v>
      </c>
      <c r="O97" s="74" t="s">
        <v>6</v>
      </c>
      <c r="P97" s="74" t="s">
        <v>221</v>
      </c>
      <c r="Q97" s="81">
        <v>137688</v>
      </c>
      <c r="R97" s="74" t="s">
        <v>222</v>
      </c>
      <c r="S97" s="79">
        <f>(Q97-AA97)/Q97</f>
        <v>-0.10491836616117599</v>
      </c>
      <c r="T97" s="80">
        <f t="shared" si="9"/>
        <v>137688</v>
      </c>
      <c r="U97" s="81"/>
      <c r="V97" s="81"/>
      <c r="W97" s="81">
        <v>128792</v>
      </c>
      <c r="X97" s="81">
        <v>123434</v>
      </c>
      <c r="Y97" s="81">
        <v>157195</v>
      </c>
      <c r="Z97" s="81"/>
      <c r="AA97" s="81">
        <v>152134</v>
      </c>
      <c r="AB97" s="80">
        <v>76049</v>
      </c>
      <c r="AC97" s="80" t="s">
        <v>222</v>
      </c>
      <c r="AD97" s="80">
        <f>Q97/100*68</f>
        <v>93627.840000000011</v>
      </c>
      <c r="AE97" s="86">
        <v>61639</v>
      </c>
      <c r="AF97" s="80" t="s">
        <v>222</v>
      </c>
      <c r="AG97" s="81" t="s">
        <v>456</v>
      </c>
      <c r="AH97" s="86">
        <v>6764</v>
      </c>
      <c r="AI97" s="86">
        <v>7579</v>
      </c>
      <c r="AJ97" s="80" t="s">
        <v>222</v>
      </c>
      <c r="AK97" s="80">
        <v>280</v>
      </c>
      <c r="AL97" s="86">
        <v>6764</v>
      </c>
      <c r="AM97" s="86">
        <v>204</v>
      </c>
      <c r="AN97" s="80" t="s">
        <v>222</v>
      </c>
      <c r="AO97" s="74" t="s">
        <v>266</v>
      </c>
      <c r="AP97" s="86" t="s">
        <v>266</v>
      </c>
      <c r="AQ97" s="80" t="s">
        <v>75</v>
      </c>
      <c r="AR97" s="74" t="s">
        <v>266</v>
      </c>
      <c r="AS97" s="86" t="s">
        <v>266</v>
      </c>
      <c r="AT97" s="80" t="s">
        <v>75</v>
      </c>
      <c r="AU97" s="80" t="s">
        <v>6</v>
      </c>
      <c r="AV97" s="80" t="s">
        <v>6</v>
      </c>
      <c r="AW97" s="86" t="s">
        <v>266</v>
      </c>
      <c r="AX97" s="80" t="s">
        <v>6</v>
      </c>
      <c r="AY97" s="88">
        <v>2749</v>
      </c>
      <c r="AZ97" s="74" t="s">
        <v>221</v>
      </c>
      <c r="BA97" s="92" t="s">
        <v>266</v>
      </c>
      <c r="BB97" s="92" t="s">
        <v>266</v>
      </c>
      <c r="BC97" s="71" t="s">
        <v>6</v>
      </c>
      <c r="BD97" s="74">
        <v>10</v>
      </c>
      <c r="BE97" s="74"/>
      <c r="BF97" s="74" t="s">
        <v>620</v>
      </c>
      <c r="BG97" s="111">
        <v>400</v>
      </c>
      <c r="BH97" s="74" t="s">
        <v>223</v>
      </c>
      <c r="BI97" s="96">
        <f>BG97/7*50</f>
        <v>2857.1428571428573</v>
      </c>
      <c r="BJ97" s="111"/>
      <c r="BK97" s="111" t="s">
        <v>199</v>
      </c>
      <c r="BL97" s="74">
        <v>30</v>
      </c>
      <c r="BM97" s="74">
        <v>20</v>
      </c>
      <c r="BN97" s="74" t="s">
        <v>223</v>
      </c>
      <c r="BO97" s="74" t="s">
        <v>620</v>
      </c>
      <c r="BP97" s="74" t="s">
        <v>620</v>
      </c>
      <c r="BQ97" s="104" t="s">
        <v>460</v>
      </c>
      <c r="BR97" s="104" t="s">
        <v>75</v>
      </c>
      <c r="BS97" s="71">
        <f>AD97/100*(31)*11.29</f>
        <v>327688.07721600006</v>
      </c>
      <c r="BT97" s="71">
        <f>AD97/100*(69)*22.59</f>
        <v>1459386.5048640002</v>
      </c>
      <c r="BU97" s="71"/>
      <c r="BV97" s="96">
        <f t="shared" si="5"/>
        <v>1787074.5820800003</v>
      </c>
      <c r="BW97" s="101">
        <f>BM97*(1-0.25)*(1-0.25)*(1-0.375)*1.2</f>
        <v>8.4375</v>
      </c>
      <c r="BX97" s="101">
        <f>SUBTOTAL(9,BM97,BW97)</f>
        <v>28.4375</v>
      </c>
    </row>
    <row r="98" spans="1:85" customFormat="1" ht="30" x14ac:dyDescent="0.25">
      <c r="A98" s="18" t="s">
        <v>85</v>
      </c>
      <c r="B98" s="5">
        <v>681</v>
      </c>
      <c r="C98" s="8" t="s">
        <v>4</v>
      </c>
      <c r="D98" s="8" t="s">
        <v>5</v>
      </c>
      <c r="E98" s="8" t="s">
        <v>68</v>
      </c>
      <c r="F98" s="8" t="s">
        <v>83</v>
      </c>
      <c r="G98" s="77" t="s">
        <v>214</v>
      </c>
      <c r="H98" s="77" t="s">
        <v>6</v>
      </c>
      <c r="I98" s="8" t="s">
        <v>9</v>
      </c>
      <c r="J98" s="74" t="s">
        <v>9</v>
      </c>
      <c r="K98" s="74" t="s">
        <v>527</v>
      </c>
      <c r="L98" s="90" t="s">
        <v>599</v>
      </c>
      <c r="M98" s="81" t="s">
        <v>542</v>
      </c>
      <c r="N98" s="74" t="s">
        <v>6</v>
      </c>
      <c r="O98" s="74" t="s">
        <v>221</v>
      </c>
      <c r="P98" s="74" t="s">
        <v>221</v>
      </c>
      <c r="Q98" s="81">
        <v>27599</v>
      </c>
      <c r="R98" s="74" t="s">
        <v>222</v>
      </c>
      <c r="S98" s="79">
        <f>(Q98-AA98)/Q98</f>
        <v>-7.8988369143809557E-3</v>
      </c>
      <c r="T98" s="80">
        <f t="shared" si="9"/>
        <v>27599</v>
      </c>
      <c r="U98" s="81">
        <v>27682</v>
      </c>
      <c r="V98" s="81">
        <v>32645</v>
      </c>
      <c r="W98" s="81">
        <v>28702</v>
      </c>
      <c r="X98" s="81">
        <v>25295</v>
      </c>
      <c r="Y98" s="81">
        <v>27230</v>
      </c>
      <c r="Z98" s="81">
        <v>32976</v>
      </c>
      <c r="AA98" s="81">
        <v>27817</v>
      </c>
      <c r="AB98" s="80">
        <v>17245</v>
      </c>
      <c r="AC98" s="80" t="s">
        <v>222</v>
      </c>
      <c r="AD98" s="80">
        <f>Q98/100*69</f>
        <v>19043.310000000001</v>
      </c>
      <c r="AE98" s="86">
        <v>10354</v>
      </c>
      <c r="AF98" s="80" t="s">
        <v>222</v>
      </c>
      <c r="AG98" s="81" t="s">
        <v>295</v>
      </c>
      <c r="AH98" s="86">
        <v>6</v>
      </c>
      <c r="AI98" s="86">
        <v>171</v>
      </c>
      <c r="AJ98" s="80" t="s">
        <v>222</v>
      </c>
      <c r="AK98" s="80" t="s">
        <v>75</v>
      </c>
      <c r="AL98" s="86" t="s">
        <v>75</v>
      </c>
      <c r="AM98" s="86" t="s">
        <v>75</v>
      </c>
      <c r="AN98" s="80" t="s">
        <v>75</v>
      </c>
      <c r="AO98" s="74" t="s">
        <v>75</v>
      </c>
      <c r="AP98" s="86" t="s">
        <v>75</v>
      </c>
      <c r="AQ98" s="80" t="s">
        <v>75</v>
      </c>
      <c r="AR98" s="74" t="s">
        <v>75</v>
      </c>
      <c r="AS98" s="86" t="s">
        <v>75</v>
      </c>
      <c r="AT98" s="80" t="s">
        <v>75</v>
      </c>
      <c r="AU98" s="80" t="s">
        <v>6</v>
      </c>
      <c r="AV98" s="80" t="s">
        <v>6</v>
      </c>
      <c r="AW98" s="86" t="s">
        <v>75</v>
      </c>
      <c r="AX98" s="80" t="s">
        <v>6</v>
      </c>
      <c r="AY98" s="88" t="s">
        <v>75</v>
      </c>
      <c r="AZ98" s="74" t="s">
        <v>221</v>
      </c>
      <c r="BA98" s="92" t="s">
        <v>266</v>
      </c>
      <c r="BB98" s="92" t="s">
        <v>266</v>
      </c>
      <c r="BC98" s="71" t="s">
        <v>75</v>
      </c>
      <c r="BD98" s="74" t="s">
        <v>75</v>
      </c>
      <c r="BE98" s="74"/>
      <c r="BF98" s="74" t="s">
        <v>83</v>
      </c>
      <c r="BG98" s="111" t="s">
        <v>75</v>
      </c>
      <c r="BH98" s="74" t="s">
        <v>75</v>
      </c>
      <c r="BI98" s="96"/>
      <c r="BJ98" s="111"/>
      <c r="BK98" s="111" t="s">
        <v>83</v>
      </c>
      <c r="BL98" s="74" t="s">
        <v>75</v>
      </c>
      <c r="BM98" s="74" t="s">
        <v>75</v>
      </c>
      <c r="BN98" s="74" t="s">
        <v>75</v>
      </c>
      <c r="BO98" s="74" t="s">
        <v>83</v>
      </c>
      <c r="BP98" s="74" t="s">
        <v>83</v>
      </c>
      <c r="BQ98" s="104" t="s">
        <v>75</v>
      </c>
      <c r="BR98" s="104" t="s">
        <v>75</v>
      </c>
      <c r="BS98" s="71">
        <f>AD98/100*(44)*12.91</f>
        <v>108173.61812400002</v>
      </c>
      <c r="BT98" s="71">
        <f>AD98/100*(56)*25.82</f>
        <v>275351.02795200003</v>
      </c>
      <c r="BU98" s="71"/>
      <c r="BV98" s="96">
        <f t="shared" si="5"/>
        <v>383524.64607600006</v>
      </c>
      <c r="BW98" s="101" t="e">
        <f>BM98*(1-0.25)*(1-0.26)*(1-0.25)*1.2</f>
        <v>#VALUE!</v>
      </c>
      <c r="BX98" s="101" t="e">
        <f>SUBTOTAL(9,BM98,BW98)</f>
        <v>#VALUE!</v>
      </c>
    </row>
    <row r="99" spans="1:85" customFormat="1" ht="30" x14ac:dyDescent="0.25">
      <c r="A99" s="110" t="s">
        <v>167</v>
      </c>
      <c r="B99" s="5">
        <v>1984</v>
      </c>
      <c r="C99" s="8" t="s">
        <v>4</v>
      </c>
      <c r="D99" s="8" t="s">
        <v>5</v>
      </c>
      <c r="E99" s="76" t="s">
        <v>137</v>
      </c>
      <c r="F99" s="94"/>
      <c r="G99" s="77"/>
      <c r="H99" s="77" t="s">
        <v>6</v>
      </c>
      <c r="I99" s="8" t="s">
        <v>7</v>
      </c>
      <c r="J99" s="74"/>
      <c r="K99" s="74"/>
      <c r="L99" s="90"/>
      <c r="M99" s="81"/>
      <c r="N99" s="74"/>
      <c r="O99" s="74"/>
      <c r="P99" s="74"/>
      <c r="Q99" s="81"/>
      <c r="R99" s="72"/>
      <c r="S99" s="79"/>
      <c r="T99" s="80" t="e">
        <f t="shared" si="9"/>
        <v>#DIV/0!</v>
      </c>
      <c r="U99" s="81"/>
      <c r="V99" s="81"/>
      <c r="W99" s="81">
        <v>6296</v>
      </c>
      <c r="X99" s="81">
        <v>4939</v>
      </c>
      <c r="Y99" s="81">
        <v>8747</v>
      </c>
      <c r="Z99" s="81"/>
      <c r="AA99" s="81">
        <v>4000</v>
      </c>
      <c r="AB99" s="80"/>
      <c r="AC99" s="80"/>
      <c r="AD99" s="80"/>
      <c r="AE99" s="86"/>
      <c r="AF99" s="80"/>
      <c r="AG99" s="81"/>
      <c r="AH99" s="86"/>
      <c r="AI99" s="86"/>
      <c r="AJ99" s="80"/>
      <c r="AK99" s="80"/>
      <c r="AL99" s="86"/>
      <c r="AM99" s="86"/>
      <c r="AN99" s="80"/>
      <c r="AO99" s="74"/>
      <c r="AP99" s="86"/>
      <c r="AQ99" s="80"/>
      <c r="AR99" s="74"/>
      <c r="AS99" s="86"/>
      <c r="AT99" s="80"/>
      <c r="AU99" s="80" t="s">
        <v>6</v>
      </c>
      <c r="AV99" s="80"/>
      <c r="AW99" s="86"/>
      <c r="AX99" s="80"/>
      <c r="AY99" s="88"/>
      <c r="AZ99" s="74" t="s">
        <v>214</v>
      </c>
      <c r="BA99" s="92">
        <v>4.25</v>
      </c>
      <c r="BB99" s="92">
        <v>2.5</v>
      </c>
      <c r="BC99" s="71"/>
      <c r="BD99" s="72"/>
      <c r="BE99" s="72"/>
      <c r="BF99" s="72">
        <v>30</v>
      </c>
      <c r="BG99" s="111"/>
      <c r="BH99" s="72"/>
      <c r="BI99" s="96">
        <f>BG99/7*50</f>
        <v>0</v>
      </c>
      <c r="BJ99" s="111"/>
      <c r="BK99" s="111">
        <v>1500</v>
      </c>
      <c r="BL99" s="72"/>
      <c r="BM99" s="72"/>
      <c r="BN99" s="72"/>
      <c r="BO99" s="74">
        <v>1</v>
      </c>
      <c r="BP99" s="74">
        <v>0.6</v>
      </c>
      <c r="BQ99" s="104"/>
      <c r="BR99" s="104"/>
      <c r="BS99" s="71"/>
      <c r="BT99" s="71"/>
      <c r="BU99" s="71"/>
      <c r="BV99" s="96">
        <f t="shared" si="5"/>
        <v>0</v>
      </c>
      <c r="BW99" s="101"/>
      <c r="BX99" s="101"/>
    </row>
    <row r="100" spans="1:85" customFormat="1" ht="30" x14ac:dyDescent="0.25">
      <c r="A100" s="18" t="s">
        <v>49</v>
      </c>
      <c r="B100" s="5">
        <v>1636</v>
      </c>
      <c r="C100" s="8" t="s">
        <v>4</v>
      </c>
      <c r="D100" s="8" t="s">
        <v>5</v>
      </c>
      <c r="E100" s="95" t="s">
        <v>25</v>
      </c>
      <c r="F100" s="78"/>
      <c r="G100" s="77" t="s">
        <v>214</v>
      </c>
      <c r="H100" s="77" t="s">
        <v>6</v>
      </c>
      <c r="I100" s="8" t="s">
        <v>7</v>
      </c>
      <c r="J100" s="74" t="s">
        <v>7</v>
      </c>
      <c r="K100" s="74" t="s">
        <v>528</v>
      </c>
      <c r="L100" s="90" t="s">
        <v>599</v>
      </c>
      <c r="M100" s="81" t="s">
        <v>75</v>
      </c>
      <c r="N100" s="74" t="s">
        <v>6</v>
      </c>
      <c r="O100" s="74" t="s">
        <v>6</v>
      </c>
      <c r="P100" s="74" t="s">
        <v>221</v>
      </c>
      <c r="Q100" s="81">
        <v>60830</v>
      </c>
      <c r="R100" s="74" t="s">
        <v>222</v>
      </c>
      <c r="S100" s="79">
        <f>(Q100-AA100)/Q100</f>
        <v>-9.2931119513397997E-2</v>
      </c>
      <c r="T100" s="80">
        <f t="shared" si="9"/>
        <v>60830</v>
      </c>
      <c r="U100" s="81"/>
      <c r="V100" s="81"/>
      <c r="W100" s="81"/>
      <c r="X100" s="81"/>
      <c r="Y100" s="81">
        <v>63233</v>
      </c>
      <c r="Z100" s="81">
        <v>57285</v>
      </c>
      <c r="AA100" s="81">
        <v>66483</v>
      </c>
      <c r="AB100" s="80">
        <v>45615</v>
      </c>
      <c r="AC100" s="80" t="s">
        <v>223</v>
      </c>
      <c r="AD100" s="80">
        <f>Q100/100*68</f>
        <v>41364.399999999994</v>
      </c>
      <c r="AE100" s="86">
        <v>15205</v>
      </c>
      <c r="AF100" s="80" t="s">
        <v>223</v>
      </c>
      <c r="AG100" s="81" t="s">
        <v>75</v>
      </c>
      <c r="AH100" s="86">
        <v>40</v>
      </c>
      <c r="AI100" s="86">
        <v>1830</v>
      </c>
      <c r="AJ100" s="80" t="s">
        <v>223</v>
      </c>
      <c r="AK100" s="80">
        <v>12</v>
      </c>
      <c r="AL100" s="86">
        <v>480</v>
      </c>
      <c r="AM100" s="86">
        <v>50</v>
      </c>
      <c r="AN100" s="80" t="s">
        <v>223</v>
      </c>
      <c r="AO100" s="91">
        <v>7</v>
      </c>
      <c r="AP100" s="86">
        <v>70</v>
      </c>
      <c r="AQ100" s="80" t="s">
        <v>223</v>
      </c>
      <c r="AR100" s="91">
        <v>20</v>
      </c>
      <c r="AS100" s="86">
        <v>400</v>
      </c>
      <c r="AT100" s="80" t="s">
        <v>223</v>
      </c>
      <c r="AU100" s="80" t="s">
        <v>6</v>
      </c>
      <c r="AV100" s="80" t="s">
        <v>6</v>
      </c>
      <c r="AW100" s="86" t="s">
        <v>75</v>
      </c>
      <c r="AX100" s="80" t="s">
        <v>6</v>
      </c>
      <c r="AY100" s="88" t="s">
        <v>75</v>
      </c>
      <c r="AZ100" s="74" t="s">
        <v>6</v>
      </c>
      <c r="BA100" s="92">
        <v>16</v>
      </c>
      <c r="BB100" s="92">
        <v>8</v>
      </c>
      <c r="BC100" s="71" t="s">
        <v>221</v>
      </c>
      <c r="BD100" s="74">
        <v>325</v>
      </c>
      <c r="BE100" s="74">
        <v>240</v>
      </c>
      <c r="BF100" s="74">
        <v>314</v>
      </c>
      <c r="BG100" s="111">
        <v>135000</v>
      </c>
      <c r="BH100" s="74" t="s">
        <v>223</v>
      </c>
      <c r="BI100" s="96">
        <f>BG100/7*50</f>
        <v>964285.71428571432</v>
      </c>
      <c r="BJ100" s="111">
        <v>130000</v>
      </c>
      <c r="BK100" s="111">
        <v>199704</v>
      </c>
      <c r="BL100" s="74">
        <v>17</v>
      </c>
      <c r="BM100" s="74">
        <v>15</v>
      </c>
      <c r="BN100" s="74" t="s">
        <v>223</v>
      </c>
      <c r="BO100" s="74">
        <v>14</v>
      </c>
      <c r="BP100" s="74">
        <v>30</v>
      </c>
      <c r="BQ100" s="107" t="s">
        <v>75</v>
      </c>
      <c r="BR100" s="107" t="s">
        <v>75</v>
      </c>
      <c r="BS100" s="71">
        <f>AD100/100*(31)*17.99</f>
        <v>230685.12235999995</v>
      </c>
      <c r="BT100" s="71">
        <f>AD100/100*(69)*35.98</f>
        <v>1026920.8672799999</v>
      </c>
      <c r="BU100" s="71">
        <v>1379524.0543750001</v>
      </c>
      <c r="BV100" s="96">
        <f t="shared" si="5"/>
        <v>2637130.0440149996</v>
      </c>
      <c r="BW100" s="101">
        <f>BM100*(1-0.25)*(1-0.25)*(1-0.375)*1.2</f>
        <v>6.328125</v>
      </c>
      <c r="BX100" s="101">
        <f>SUBTOTAL(9,BM100,BW100)</f>
        <v>21.328125</v>
      </c>
    </row>
    <row r="101" spans="1:85" ht="45" customHeight="1" x14ac:dyDescent="0.25">
      <c r="A101" s="114" t="s">
        <v>66</v>
      </c>
      <c r="B101" s="6" t="s">
        <v>520</v>
      </c>
      <c r="C101" s="8" t="s">
        <v>63</v>
      </c>
      <c r="D101" s="72" t="s">
        <v>5</v>
      </c>
      <c r="E101" s="72" t="s">
        <v>25</v>
      </c>
      <c r="F101" s="72"/>
      <c r="G101" s="72"/>
      <c r="H101" s="72"/>
      <c r="I101" s="74" t="s">
        <v>27</v>
      </c>
      <c r="J101" s="72"/>
      <c r="K101" s="72"/>
      <c r="L101" s="85"/>
      <c r="M101" s="112"/>
      <c r="N101" s="74"/>
      <c r="O101" s="74"/>
      <c r="P101" s="74"/>
      <c r="Q101" s="112"/>
      <c r="R101" s="72"/>
      <c r="S101" s="79"/>
      <c r="T101" s="72"/>
      <c r="U101" s="85"/>
      <c r="V101" s="85"/>
      <c r="W101" s="85"/>
      <c r="X101" s="85"/>
      <c r="Y101" s="85"/>
      <c r="Z101" s="85"/>
      <c r="AA101" s="85"/>
      <c r="AB101" s="72"/>
      <c r="AC101" s="72"/>
      <c r="AD101" s="72"/>
      <c r="AE101" s="87"/>
      <c r="AF101" s="72"/>
      <c r="AG101" s="85"/>
      <c r="AH101" s="87"/>
      <c r="AI101" s="87"/>
      <c r="AJ101" s="72"/>
      <c r="AK101" s="72"/>
      <c r="AL101" s="87"/>
      <c r="AM101" s="87"/>
      <c r="AN101" s="72"/>
      <c r="AO101" s="74"/>
      <c r="AP101" s="87"/>
      <c r="AQ101" s="72"/>
      <c r="AR101" s="74"/>
      <c r="AS101" s="87"/>
      <c r="AT101" s="72"/>
      <c r="AU101" s="72" t="s">
        <v>6</v>
      </c>
      <c r="AV101" s="72"/>
      <c r="AW101" s="87"/>
      <c r="AX101" s="72"/>
      <c r="AY101" s="99"/>
      <c r="AZ101" s="74" t="s">
        <v>295</v>
      </c>
      <c r="BA101" s="92" t="s">
        <v>266</v>
      </c>
      <c r="BB101" s="92" t="s">
        <v>266</v>
      </c>
      <c r="BC101" s="72"/>
      <c r="BD101" s="72"/>
      <c r="BE101" s="72"/>
      <c r="BF101" s="72"/>
      <c r="BG101" s="111"/>
      <c r="BH101" s="72"/>
      <c r="BI101" s="96"/>
      <c r="BJ101" s="111"/>
      <c r="BK101" s="111"/>
      <c r="BL101" s="72"/>
      <c r="BM101" s="72"/>
      <c r="BN101" s="72"/>
      <c r="BO101" s="72"/>
      <c r="BP101" s="72"/>
      <c r="BQ101" s="104"/>
      <c r="BR101" s="104"/>
      <c r="BS101" s="71"/>
      <c r="BT101" s="71"/>
      <c r="BU101" s="71"/>
      <c r="BV101" s="96">
        <f t="shared" si="5"/>
        <v>0</v>
      </c>
      <c r="BW101" s="101"/>
      <c r="BX101" s="101">
        <f>SUBTOTAL(9,BM101,BW101)</f>
        <v>0</v>
      </c>
    </row>
    <row r="102" spans="1:85" customFormat="1" ht="30" x14ac:dyDescent="0.25">
      <c r="A102" s="110" t="s">
        <v>201</v>
      </c>
      <c r="B102" s="5">
        <v>1938</v>
      </c>
      <c r="C102" s="8" t="s">
        <v>4</v>
      </c>
      <c r="D102" s="8" t="s">
        <v>5</v>
      </c>
      <c r="E102" s="76" t="s">
        <v>174</v>
      </c>
      <c r="F102" s="76"/>
      <c r="G102" s="77" t="s">
        <v>6</v>
      </c>
      <c r="H102" s="77" t="s">
        <v>6</v>
      </c>
      <c r="I102" s="8" t="s">
        <v>7</v>
      </c>
      <c r="J102" s="74" t="s">
        <v>7</v>
      </c>
      <c r="K102" s="74" t="s">
        <v>527</v>
      </c>
      <c r="L102" s="90" t="s">
        <v>599</v>
      </c>
      <c r="M102" s="81">
        <v>1200</v>
      </c>
      <c r="N102" s="74" t="s">
        <v>6</v>
      </c>
      <c r="O102" s="74" t="s">
        <v>6</v>
      </c>
      <c r="P102" s="74" t="s">
        <v>221</v>
      </c>
      <c r="Q102" s="81">
        <v>25000</v>
      </c>
      <c r="R102" s="74" t="s">
        <v>223</v>
      </c>
      <c r="S102" s="79">
        <f>(Q102-AA102)/Q102</f>
        <v>-0.4</v>
      </c>
      <c r="T102" s="80">
        <f>AVERAGE(Q102:Q102)</f>
        <v>25000</v>
      </c>
      <c r="U102" s="81">
        <v>36992</v>
      </c>
      <c r="V102" s="81">
        <v>39000</v>
      </c>
      <c r="W102" s="81">
        <v>40000</v>
      </c>
      <c r="X102" s="81">
        <v>40000</v>
      </c>
      <c r="Y102" s="81">
        <v>34082</v>
      </c>
      <c r="Z102" s="81">
        <v>37060</v>
      </c>
      <c r="AA102" s="81">
        <v>35000</v>
      </c>
      <c r="AB102" s="80">
        <v>13000</v>
      </c>
      <c r="AC102" s="80" t="s">
        <v>223</v>
      </c>
      <c r="AD102" s="80">
        <f>Q102/100*69</f>
        <v>17250</v>
      </c>
      <c r="AE102" s="86">
        <v>12000</v>
      </c>
      <c r="AF102" s="80" t="s">
        <v>223</v>
      </c>
      <c r="AG102" s="81" t="s">
        <v>387</v>
      </c>
      <c r="AH102" s="86">
        <v>20</v>
      </c>
      <c r="AI102" s="86">
        <v>450</v>
      </c>
      <c r="AJ102" s="80" t="s">
        <v>223</v>
      </c>
      <c r="AK102" s="80">
        <v>10</v>
      </c>
      <c r="AL102" s="86">
        <v>150</v>
      </c>
      <c r="AM102" s="86">
        <v>30</v>
      </c>
      <c r="AN102" s="80" t="s">
        <v>223</v>
      </c>
      <c r="AO102" s="74">
        <v>3</v>
      </c>
      <c r="AP102" s="86">
        <v>220</v>
      </c>
      <c r="AQ102" s="80" t="s">
        <v>223</v>
      </c>
      <c r="AR102" s="74">
        <v>1</v>
      </c>
      <c r="AS102" s="86">
        <v>24</v>
      </c>
      <c r="AT102" s="80" t="s">
        <v>222</v>
      </c>
      <c r="AU102" s="80" t="s">
        <v>6</v>
      </c>
      <c r="AV102" s="80" t="s">
        <v>6</v>
      </c>
      <c r="AW102" s="86">
        <v>129000</v>
      </c>
      <c r="AX102" s="80" t="s">
        <v>6</v>
      </c>
      <c r="AY102" s="88" t="s">
        <v>388</v>
      </c>
      <c r="AZ102" s="74" t="s">
        <v>221</v>
      </c>
      <c r="BA102" s="92" t="s">
        <v>266</v>
      </c>
      <c r="BB102" s="92" t="s">
        <v>266</v>
      </c>
      <c r="BC102" s="71" t="s">
        <v>221</v>
      </c>
      <c r="BD102" s="74">
        <v>45</v>
      </c>
      <c r="BE102" s="74">
        <v>50</v>
      </c>
      <c r="BF102" s="74">
        <v>50</v>
      </c>
      <c r="BG102" s="111">
        <v>9000</v>
      </c>
      <c r="BH102" s="74" t="s">
        <v>223</v>
      </c>
      <c r="BI102" s="96">
        <f>BG102/7*50</f>
        <v>64285.71428571429</v>
      </c>
      <c r="BJ102" s="111">
        <v>24000</v>
      </c>
      <c r="BK102" s="111">
        <v>24000</v>
      </c>
      <c r="BL102" s="74">
        <v>1</v>
      </c>
      <c r="BM102" s="74">
        <v>1</v>
      </c>
      <c r="BN102" s="74" t="s">
        <v>222</v>
      </c>
      <c r="BO102" s="74">
        <v>1</v>
      </c>
      <c r="BP102" s="74">
        <v>0</v>
      </c>
      <c r="BQ102" s="104" t="s">
        <v>389</v>
      </c>
      <c r="BR102" s="104" t="s">
        <v>75</v>
      </c>
      <c r="BS102" s="71">
        <f>AD102/100*(44)*12.86</f>
        <v>97607.4</v>
      </c>
      <c r="BT102" s="71">
        <f>AD102/100*(56)*25.73</f>
        <v>248551.80000000002</v>
      </c>
      <c r="BU102" s="71">
        <v>74224.5625</v>
      </c>
      <c r="BV102" s="96">
        <f t="shared" si="5"/>
        <v>420383.76250000001</v>
      </c>
      <c r="BW102" s="101">
        <f>BM102*(1-0.25)*(1-0.26)*(1-0.25)*1.2</f>
        <v>0.49949999999999994</v>
      </c>
      <c r="BX102" s="101">
        <f>SUBTOTAL(9,BM102,BW102)</f>
        <v>1.4994999999999998</v>
      </c>
    </row>
    <row r="103" spans="1:85" customFormat="1" ht="30" x14ac:dyDescent="0.25">
      <c r="A103" s="115" t="s">
        <v>171</v>
      </c>
      <c r="B103" s="5"/>
      <c r="C103" s="8" t="s">
        <v>105</v>
      </c>
      <c r="D103" s="8" t="s">
        <v>5</v>
      </c>
      <c r="E103" s="76" t="s">
        <v>137</v>
      </c>
      <c r="F103" s="76"/>
      <c r="G103" s="77"/>
      <c r="H103" s="77" t="s">
        <v>6</v>
      </c>
      <c r="I103" s="74" t="s">
        <v>7</v>
      </c>
      <c r="J103" s="74"/>
      <c r="K103" s="74"/>
      <c r="L103" s="90"/>
      <c r="M103" s="81"/>
      <c r="N103" s="74"/>
      <c r="O103" s="74"/>
      <c r="P103" s="74"/>
      <c r="Q103" s="81"/>
      <c r="R103" s="72"/>
      <c r="S103" s="79"/>
      <c r="T103" s="80" t="e">
        <f>AVERAGE(Q103:Q103)</f>
        <v>#DIV/0!</v>
      </c>
      <c r="U103" s="81"/>
      <c r="V103" s="81"/>
      <c r="W103" s="81"/>
      <c r="X103" s="81"/>
      <c r="Y103" s="81">
        <v>1500</v>
      </c>
      <c r="Z103" s="81">
        <v>2000</v>
      </c>
      <c r="AA103" s="81">
        <v>3000</v>
      </c>
      <c r="AB103" s="80"/>
      <c r="AC103" s="80"/>
      <c r="AD103" s="80"/>
      <c r="AE103" s="86"/>
      <c r="AF103" s="80"/>
      <c r="AG103" s="81"/>
      <c r="AH103" s="86"/>
      <c r="AI103" s="86"/>
      <c r="AJ103" s="80"/>
      <c r="AK103" s="80"/>
      <c r="AL103" s="86"/>
      <c r="AM103" s="86"/>
      <c r="AN103" s="80"/>
      <c r="AO103" s="74"/>
      <c r="AP103" s="86"/>
      <c r="AQ103" s="80"/>
      <c r="AR103" s="74"/>
      <c r="AS103" s="86"/>
      <c r="AT103" s="80"/>
      <c r="AU103" s="80" t="s">
        <v>6</v>
      </c>
      <c r="AV103" s="80"/>
      <c r="AW103" s="86"/>
      <c r="AX103" s="80"/>
      <c r="AY103" s="88"/>
      <c r="AZ103" s="74" t="s">
        <v>214</v>
      </c>
      <c r="BA103" s="92">
        <v>6.5</v>
      </c>
      <c r="BB103" s="92">
        <v>4</v>
      </c>
      <c r="BC103" s="71"/>
      <c r="BD103" s="72"/>
      <c r="BE103" s="72">
        <v>10</v>
      </c>
      <c r="BF103" s="72">
        <v>10</v>
      </c>
      <c r="BG103" s="111"/>
      <c r="BH103" s="72"/>
      <c r="BI103" s="96">
        <f>BG103/7*50</f>
        <v>0</v>
      </c>
      <c r="BJ103" s="111">
        <v>2600</v>
      </c>
      <c r="BK103" s="111">
        <v>2886</v>
      </c>
      <c r="BL103" s="72"/>
      <c r="BM103" s="72"/>
      <c r="BN103" s="72"/>
      <c r="BO103" s="74">
        <v>0</v>
      </c>
      <c r="BP103" s="74">
        <v>0</v>
      </c>
      <c r="BQ103" s="104"/>
      <c r="BR103" s="104"/>
      <c r="BS103" s="71"/>
      <c r="BT103" s="71"/>
      <c r="BU103" s="71"/>
      <c r="BV103" s="96">
        <f t="shared" si="5"/>
        <v>0</v>
      </c>
      <c r="BW103" s="101"/>
      <c r="BX103" s="101"/>
    </row>
    <row r="104" spans="1:85" customFormat="1" ht="60" customHeight="1" x14ac:dyDescent="0.25">
      <c r="A104" s="18" t="s">
        <v>24</v>
      </c>
      <c r="B104" s="5">
        <v>569</v>
      </c>
      <c r="C104" s="8" t="s">
        <v>4</v>
      </c>
      <c r="D104" s="8" t="s">
        <v>5</v>
      </c>
      <c r="E104" s="95" t="s">
        <v>25</v>
      </c>
      <c r="F104" s="78"/>
      <c r="G104" s="77" t="s">
        <v>214</v>
      </c>
      <c r="H104" s="77" t="s">
        <v>6</v>
      </c>
      <c r="I104" s="8" t="s">
        <v>9</v>
      </c>
      <c r="J104" s="74" t="s">
        <v>7</v>
      </c>
      <c r="K104" s="74" t="s">
        <v>390</v>
      </c>
      <c r="L104" s="90" t="s">
        <v>603</v>
      </c>
      <c r="M104" s="81" t="s">
        <v>623</v>
      </c>
      <c r="N104" s="75" t="s">
        <v>6</v>
      </c>
      <c r="O104" s="75" t="s">
        <v>221</v>
      </c>
      <c r="P104" s="75" t="s">
        <v>221</v>
      </c>
      <c r="Q104" s="81" t="s">
        <v>390</v>
      </c>
      <c r="R104" s="74" t="s">
        <v>222</v>
      </c>
      <c r="S104" s="79"/>
      <c r="T104" s="80"/>
      <c r="U104" s="81">
        <v>9414</v>
      </c>
      <c r="V104" s="81">
        <v>9287</v>
      </c>
      <c r="W104" s="81">
        <v>10445</v>
      </c>
      <c r="X104" s="81">
        <v>11209</v>
      </c>
      <c r="Y104" s="81">
        <v>6700</v>
      </c>
      <c r="Z104" s="81"/>
      <c r="AA104" s="81">
        <v>10720</v>
      </c>
      <c r="AB104" s="80">
        <v>0</v>
      </c>
      <c r="AC104" s="80" t="s">
        <v>222</v>
      </c>
      <c r="AD104" s="80"/>
      <c r="AE104" s="86">
        <v>0</v>
      </c>
      <c r="AF104" s="80" t="s">
        <v>222</v>
      </c>
      <c r="AG104" s="81" t="s">
        <v>461</v>
      </c>
      <c r="AH104" s="86">
        <v>0</v>
      </c>
      <c r="AI104" s="86">
        <v>0</v>
      </c>
      <c r="AJ104" s="80" t="s">
        <v>222</v>
      </c>
      <c r="AK104" s="80">
        <v>28</v>
      </c>
      <c r="AL104" s="86">
        <v>801</v>
      </c>
      <c r="AM104" s="86">
        <v>8</v>
      </c>
      <c r="AN104" s="80" t="s">
        <v>222</v>
      </c>
      <c r="AO104" s="75">
        <v>0</v>
      </c>
      <c r="AP104" s="86">
        <v>0</v>
      </c>
      <c r="AQ104" s="80" t="s">
        <v>222</v>
      </c>
      <c r="AR104" s="75">
        <v>85</v>
      </c>
      <c r="AS104" s="86">
        <v>3416</v>
      </c>
      <c r="AT104" s="80" t="s">
        <v>222</v>
      </c>
      <c r="AU104" s="80" t="s">
        <v>6</v>
      </c>
      <c r="AV104" s="80" t="s">
        <v>221</v>
      </c>
      <c r="AW104" s="86" t="s">
        <v>75</v>
      </c>
      <c r="AX104" s="80" t="s">
        <v>6</v>
      </c>
      <c r="AY104" s="88">
        <v>1200</v>
      </c>
      <c r="AZ104" s="75" t="s">
        <v>390</v>
      </c>
      <c r="BA104" s="92" t="s">
        <v>266</v>
      </c>
      <c r="BB104" s="92" t="s">
        <v>266</v>
      </c>
      <c r="BC104" s="71" t="s">
        <v>6</v>
      </c>
      <c r="BD104" s="74">
        <v>50</v>
      </c>
      <c r="BE104" s="74"/>
      <c r="BF104" s="74">
        <v>45</v>
      </c>
      <c r="BG104" s="111">
        <v>2871</v>
      </c>
      <c r="BH104" s="74" t="s">
        <v>222</v>
      </c>
      <c r="BI104" s="96">
        <f>BG104/7*50</f>
        <v>20507.142857142859</v>
      </c>
      <c r="BJ104" s="111"/>
      <c r="BK104" s="111">
        <v>2295</v>
      </c>
      <c r="BL104" s="74">
        <v>6</v>
      </c>
      <c r="BM104" s="74">
        <v>4</v>
      </c>
      <c r="BN104" s="74" t="s">
        <v>222</v>
      </c>
      <c r="BO104" s="74">
        <v>5</v>
      </c>
      <c r="BP104" s="74">
        <v>2.8</v>
      </c>
      <c r="BQ104" s="106" t="s">
        <v>463</v>
      </c>
      <c r="BR104" s="106" t="s">
        <v>464</v>
      </c>
      <c r="BS104" s="71">
        <f>AD104/100*(44)*17.99</f>
        <v>0</v>
      </c>
      <c r="BT104" s="71">
        <f>AD104/100*(56)*35.98</f>
        <v>0</v>
      </c>
      <c r="BU104" s="71">
        <v>38968.0625</v>
      </c>
      <c r="BV104" s="96">
        <f t="shared" si="5"/>
        <v>38968.0625</v>
      </c>
      <c r="BW104" s="102">
        <f>BM104*(1-0.25)*(1-0.26)*(1-0.25)*1.2</f>
        <v>1.9979999999999998</v>
      </c>
      <c r="BX104" s="102">
        <f>SUBTOTAL(9,BM104,BW104)</f>
        <v>5.9979999999999993</v>
      </c>
    </row>
    <row r="105" spans="1:85" customFormat="1" ht="75" x14ac:dyDescent="0.25">
      <c r="A105" s="113" t="s">
        <v>98</v>
      </c>
      <c r="B105" s="5">
        <v>2054</v>
      </c>
      <c r="C105" s="8" t="s">
        <v>4</v>
      </c>
      <c r="D105" s="8" t="s">
        <v>5</v>
      </c>
      <c r="E105" s="8" t="s">
        <v>68</v>
      </c>
      <c r="F105" s="8"/>
      <c r="G105" s="77" t="s">
        <v>214</v>
      </c>
      <c r="H105" s="77"/>
      <c r="I105" s="8" t="s">
        <v>7</v>
      </c>
      <c r="J105" s="74" t="s">
        <v>7</v>
      </c>
      <c r="K105" s="74" t="s">
        <v>526</v>
      </c>
      <c r="L105" s="90" t="s">
        <v>600</v>
      </c>
      <c r="M105" s="81">
        <v>250</v>
      </c>
      <c r="N105" s="74" t="s">
        <v>6</v>
      </c>
      <c r="O105" s="74" t="s">
        <v>221</v>
      </c>
      <c r="P105" s="74" t="s">
        <v>221</v>
      </c>
      <c r="Q105" s="81">
        <v>621</v>
      </c>
      <c r="R105" s="74" t="s">
        <v>222</v>
      </c>
      <c r="S105" s="79"/>
      <c r="T105" s="80">
        <f>AVERAGE(Q105:Q105)</f>
        <v>621</v>
      </c>
      <c r="U105" s="81"/>
      <c r="V105" s="81"/>
      <c r="W105" s="81"/>
      <c r="X105" s="81"/>
      <c r="Y105" s="81"/>
      <c r="Z105" s="81"/>
      <c r="AA105" s="81"/>
      <c r="AB105" s="80">
        <v>550</v>
      </c>
      <c r="AC105" s="80" t="s">
        <v>223</v>
      </c>
      <c r="AD105" s="80">
        <f>Q105/100*75</f>
        <v>465.75</v>
      </c>
      <c r="AE105" s="86">
        <v>75</v>
      </c>
      <c r="AF105" s="80" t="s">
        <v>223</v>
      </c>
      <c r="AG105" s="81" t="s">
        <v>394</v>
      </c>
      <c r="AH105" s="86">
        <v>2</v>
      </c>
      <c r="AI105" s="86">
        <v>50</v>
      </c>
      <c r="AJ105" s="80" t="s">
        <v>223</v>
      </c>
      <c r="AK105" s="80">
        <v>0</v>
      </c>
      <c r="AL105" s="86">
        <v>0</v>
      </c>
      <c r="AM105" s="86">
        <v>2</v>
      </c>
      <c r="AN105" s="80" t="s">
        <v>222</v>
      </c>
      <c r="AO105" s="74">
        <v>9</v>
      </c>
      <c r="AP105" s="86">
        <v>130</v>
      </c>
      <c r="AQ105" s="80" t="s">
        <v>223</v>
      </c>
      <c r="AR105" s="74">
        <v>4</v>
      </c>
      <c r="AS105" s="86">
        <v>200</v>
      </c>
      <c r="AT105" s="80" t="s">
        <v>223</v>
      </c>
      <c r="AU105" s="80" t="s">
        <v>6</v>
      </c>
      <c r="AV105" s="80" t="s">
        <v>6</v>
      </c>
      <c r="AW105" s="86">
        <v>14373</v>
      </c>
      <c r="AX105" s="80" t="s">
        <v>6</v>
      </c>
      <c r="AY105" s="88" t="s">
        <v>395</v>
      </c>
      <c r="AZ105" s="74" t="s">
        <v>6</v>
      </c>
      <c r="BA105" s="92">
        <v>2</v>
      </c>
      <c r="BB105" s="92">
        <v>0.5</v>
      </c>
      <c r="BC105" s="71" t="s">
        <v>75</v>
      </c>
      <c r="BD105" s="74">
        <v>8</v>
      </c>
      <c r="BE105" s="74"/>
      <c r="BF105" s="74"/>
      <c r="BG105" s="111">
        <v>500</v>
      </c>
      <c r="BH105" s="74" t="s">
        <v>223</v>
      </c>
      <c r="BI105" s="96">
        <f>BG105/7*50</f>
        <v>3571.4285714285716</v>
      </c>
      <c r="BJ105" s="111"/>
      <c r="BK105" s="111"/>
      <c r="BL105" s="74">
        <v>0</v>
      </c>
      <c r="BM105" s="74">
        <v>0</v>
      </c>
      <c r="BN105" s="74" t="s">
        <v>222</v>
      </c>
      <c r="BO105" s="74"/>
      <c r="BP105" s="74"/>
      <c r="BQ105" s="104" t="s">
        <v>75</v>
      </c>
      <c r="BR105" s="104" t="s">
        <v>75</v>
      </c>
      <c r="BS105" s="71">
        <f>AD105/100*(47)*12.91</f>
        <v>2826.0312749999998</v>
      </c>
      <c r="BT105" s="71">
        <f>AD105/100*(53)*25.82</f>
        <v>6373.6024500000003</v>
      </c>
      <c r="BU105" s="71"/>
      <c r="BV105" s="96">
        <f t="shared" si="5"/>
        <v>9199.6337249999997</v>
      </c>
      <c r="BW105" s="101">
        <f>BM105*(1-0.25)*(1-0.21)*(1-0.25)*1.2</f>
        <v>0</v>
      </c>
      <c r="BX105" s="101">
        <f>SUBTOTAL(9,BM105,BW105)</f>
        <v>0</v>
      </c>
    </row>
    <row r="106" spans="1:85" customFormat="1" ht="45" x14ac:dyDescent="0.25">
      <c r="A106" s="110" t="s">
        <v>140</v>
      </c>
      <c r="B106" s="5">
        <v>732</v>
      </c>
      <c r="C106" s="8" t="s">
        <v>4</v>
      </c>
      <c r="D106" s="8" t="s">
        <v>5</v>
      </c>
      <c r="E106" s="76" t="s">
        <v>137</v>
      </c>
      <c r="F106" s="94" t="s">
        <v>141</v>
      </c>
      <c r="G106" s="77" t="s">
        <v>214</v>
      </c>
      <c r="H106" s="77" t="s">
        <v>6</v>
      </c>
      <c r="I106" s="8" t="s">
        <v>9</v>
      </c>
      <c r="J106" s="75" t="s">
        <v>9</v>
      </c>
      <c r="K106" s="75" t="s">
        <v>529</v>
      </c>
      <c r="L106" s="122" t="s">
        <v>599</v>
      </c>
      <c r="M106" s="81" t="s">
        <v>547</v>
      </c>
      <c r="N106" s="74" t="s">
        <v>221</v>
      </c>
      <c r="O106" s="74" t="s">
        <v>221</v>
      </c>
      <c r="P106" s="74" t="s">
        <v>221</v>
      </c>
      <c r="Q106" s="81">
        <v>205223</v>
      </c>
      <c r="R106" s="74" t="s">
        <v>75</v>
      </c>
      <c r="S106" s="79">
        <f>(Q106-AA106)/Q106</f>
        <v>-3.9761625158973413E-2</v>
      </c>
      <c r="T106" s="80">
        <f>AVERAGE(Q106:Q106)</f>
        <v>205223</v>
      </c>
      <c r="U106" s="81">
        <v>145996</v>
      </c>
      <c r="V106" s="81">
        <v>157136</v>
      </c>
      <c r="W106" s="81">
        <v>175430</v>
      </c>
      <c r="X106" s="81">
        <v>168905</v>
      </c>
      <c r="Y106" s="81">
        <v>182984</v>
      </c>
      <c r="Z106" s="81">
        <v>193646</v>
      </c>
      <c r="AA106" s="81">
        <v>213383</v>
      </c>
      <c r="AB106" s="80">
        <v>131762</v>
      </c>
      <c r="AC106" s="80" t="s">
        <v>75</v>
      </c>
      <c r="AD106" s="80">
        <f>Q106/100*68</f>
        <v>139551.64000000001</v>
      </c>
      <c r="AE106" s="86">
        <v>72973</v>
      </c>
      <c r="AF106" s="80" t="s">
        <v>75</v>
      </c>
      <c r="AG106" s="81" t="s">
        <v>75</v>
      </c>
      <c r="AH106" s="86">
        <v>319</v>
      </c>
      <c r="AI106" s="86">
        <v>21315</v>
      </c>
      <c r="AJ106" s="80" t="s">
        <v>75</v>
      </c>
      <c r="AK106" s="80">
        <v>11</v>
      </c>
      <c r="AL106" s="86">
        <v>2822</v>
      </c>
      <c r="AM106" s="86">
        <v>12</v>
      </c>
      <c r="AN106" s="80" t="s">
        <v>222</v>
      </c>
      <c r="AO106" s="74">
        <v>189</v>
      </c>
      <c r="AP106" s="86">
        <v>100000</v>
      </c>
      <c r="AQ106" s="80" t="s">
        <v>75</v>
      </c>
      <c r="AR106" s="74">
        <v>22</v>
      </c>
      <c r="AS106" s="86">
        <v>1006</v>
      </c>
      <c r="AT106" s="80" t="s">
        <v>222</v>
      </c>
      <c r="AU106" s="80" t="s">
        <v>6</v>
      </c>
      <c r="AV106" s="80" t="s">
        <v>6</v>
      </c>
      <c r="AW106" s="86">
        <v>242724</v>
      </c>
      <c r="AX106" s="80" t="s">
        <v>6</v>
      </c>
      <c r="AY106" s="88">
        <v>17223</v>
      </c>
      <c r="AZ106" s="74" t="s">
        <v>6</v>
      </c>
      <c r="BA106" s="92">
        <v>9.15</v>
      </c>
      <c r="BB106" s="92">
        <v>7.3</v>
      </c>
      <c r="BC106" s="71" t="s">
        <v>6</v>
      </c>
      <c r="BD106" s="74">
        <v>329</v>
      </c>
      <c r="BE106" s="74">
        <v>330</v>
      </c>
      <c r="BF106" s="74">
        <v>328</v>
      </c>
      <c r="BG106" s="111">
        <v>36300</v>
      </c>
      <c r="BH106" s="74" t="s">
        <v>222</v>
      </c>
      <c r="BI106" s="96">
        <f>BG106/7*50</f>
        <v>259285.71428571426</v>
      </c>
      <c r="BJ106" s="111">
        <v>39713</v>
      </c>
      <c r="BK106" s="111">
        <v>36419</v>
      </c>
      <c r="BL106" s="74" t="s">
        <v>548</v>
      </c>
      <c r="BM106" s="74">
        <v>125.28</v>
      </c>
      <c r="BN106" s="74" t="s">
        <v>75</v>
      </c>
      <c r="BO106" s="75" t="s">
        <v>611</v>
      </c>
      <c r="BP106" s="75">
        <v>143.02000000000001</v>
      </c>
      <c r="BQ106" s="104" t="s">
        <v>75</v>
      </c>
      <c r="BR106" s="104" t="s">
        <v>75</v>
      </c>
      <c r="BS106" s="71">
        <f>AD106/100*(31)*14.08</f>
        <v>609114.99827200011</v>
      </c>
      <c r="BT106" s="71">
        <f>AD106/100*(69)*28.16</f>
        <v>2711544.1858560001</v>
      </c>
      <c r="BU106" s="71">
        <v>3612706.9393750001</v>
      </c>
      <c r="BV106" s="96">
        <f t="shared" si="5"/>
        <v>6933366.1235030005</v>
      </c>
      <c r="BW106" s="101">
        <f>BM106*(1-0.25)*(1-0.25)*(1-0.375)*1.2</f>
        <v>52.852499999999999</v>
      </c>
      <c r="BX106" s="101">
        <f>SUBTOTAL(9,BM106,BW106)</f>
        <v>178.13249999999999</v>
      </c>
      <c r="BY106" s="28"/>
      <c r="BZ106" s="28"/>
      <c r="CA106" s="28"/>
      <c r="CB106" s="28"/>
      <c r="CC106" s="28"/>
      <c r="CD106" s="28"/>
      <c r="CE106" s="28"/>
      <c r="CF106" s="28"/>
      <c r="CG106" s="28"/>
    </row>
    <row r="107" spans="1:85" customFormat="1" ht="30" x14ac:dyDescent="0.25">
      <c r="A107" s="18" t="s">
        <v>48</v>
      </c>
      <c r="B107" s="5">
        <v>1598</v>
      </c>
      <c r="C107" s="8" t="s">
        <v>4</v>
      </c>
      <c r="D107" s="8" t="s">
        <v>5</v>
      </c>
      <c r="E107" s="95" t="s">
        <v>25</v>
      </c>
      <c r="F107" s="78"/>
      <c r="G107" s="77"/>
      <c r="H107" s="77"/>
      <c r="I107" s="8" t="s">
        <v>7</v>
      </c>
      <c r="J107" s="74"/>
      <c r="K107" s="74"/>
      <c r="L107" s="90"/>
      <c r="M107" s="81"/>
      <c r="N107" s="74"/>
      <c r="O107" s="74"/>
      <c r="P107" s="74"/>
      <c r="Q107" s="81"/>
      <c r="R107" s="72"/>
      <c r="S107" s="79"/>
      <c r="T107" s="80"/>
      <c r="U107" s="81"/>
      <c r="V107" s="81"/>
      <c r="W107" s="81"/>
      <c r="X107" s="81"/>
      <c r="Y107" s="81"/>
      <c r="Z107" s="81"/>
      <c r="AA107" s="81"/>
      <c r="AB107" s="80"/>
      <c r="AC107" s="80"/>
      <c r="AD107" s="80"/>
      <c r="AE107" s="86"/>
      <c r="AF107" s="80"/>
      <c r="AG107" s="81"/>
      <c r="AH107" s="86"/>
      <c r="AI107" s="86"/>
      <c r="AJ107" s="80"/>
      <c r="AK107" s="80"/>
      <c r="AL107" s="86"/>
      <c r="AM107" s="86"/>
      <c r="AN107" s="80"/>
      <c r="AO107" s="74"/>
      <c r="AP107" s="86"/>
      <c r="AQ107" s="80"/>
      <c r="AR107" s="74"/>
      <c r="AS107" s="86"/>
      <c r="AT107" s="80"/>
      <c r="AU107" s="80" t="s">
        <v>6</v>
      </c>
      <c r="AV107" s="80"/>
      <c r="AW107" s="86"/>
      <c r="AX107" s="80"/>
      <c r="AY107" s="88"/>
      <c r="AZ107" s="74" t="s">
        <v>214</v>
      </c>
      <c r="BA107" s="92">
        <v>4.5</v>
      </c>
      <c r="BB107" s="92">
        <v>3.5</v>
      </c>
      <c r="BC107" s="71"/>
      <c r="BD107" s="72"/>
      <c r="BE107" s="72"/>
      <c r="BF107" s="72"/>
      <c r="BG107" s="111"/>
      <c r="BH107" s="72"/>
      <c r="BI107" s="96"/>
      <c r="BJ107" s="111"/>
      <c r="BK107" s="111"/>
      <c r="BL107" s="72"/>
      <c r="BM107" s="72"/>
      <c r="BN107" s="72"/>
      <c r="BO107" s="74"/>
      <c r="BP107" s="74"/>
      <c r="BQ107" s="104"/>
      <c r="BR107" s="104"/>
      <c r="BS107" s="71"/>
      <c r="BT107" s="71"/>
      <c r="BU107" s="71"/>
      <c r="BV107" s="96">
        <f t="shared" si="5"/>
        <v>0</v>
      </c>
      <c r="BW107" s="101"/>
      <c r="BX107" s="101"/>
    </row>
    <row r="108" spans="1:85" customFormat="1" ht="45" x14ac:dyDescent="0.25">
      <c r="A108" s="18" t="s">
        <v>159</v>
      </c>
      <c r="B108" s="5">
        <v>1656</v>
      </c>
      <c r="C108" s="8" t="s">
        <v>30</v>
      </c>
      <c r="D108" s="8" t="s">
        <v>5</v>
      </c>
      <c r="E108" s="95" t="s">
        <v>137</v>
      </c>
      <c r="F108" s="78"/>
      <c r="G108" s="77"/>
      <c r="H108" s="77"/>
      <c r="I108" s="8" t="s">
        <v>94</v>
      </c>
      <c r="J108" s="74"/>
      <c r="K108" s="74"/>
      <c r="L108" s="90"/>
      <c r="M108" s="81"/>
      <c r="N108" s="74"/>
      <c r="O108" s="74"/>
      <c r="P108" s="74"/>
      <c r="Q108" s="81"/>
      <c r="R108" s="72"/>
      <c r="S108" s="79"/>
      <c r="T108" s="80"/>
      <c r="U108" s="81"/>
      <c r="V108" s="81"/>
      <c r="W108" s="81"/>
      <c r="X108" s="81"/>
      <c r="Y108" s="81"/>
      <c r="Z108" s="81"/>
      <c r="AA108" s="81"/>
      <c r="AB108" s="80"/>
      <c r="AC108" s="80"/>
      <c r="AD108" s="80"/>
      <c r="AE108" s="86"/>
      <c r="AF108" s="80"/>
      <c r="AG108" s="81"/>
      <c r="AH108" s="86"/>
      <c r="AI108" s="86"/>
      <c r="AJ108" s="80"/>
      <c r="AK108" s="80"/>
      <c r="AL108" s="86"/>
      <c r="AM108" s="86"/>
      <c r="AN108" s="80"/>
      <c r="AO108" s="74"/>
      <c r="AP108" s="86"/>
      <c r="AQ108" s="80"/>
      <c r="AR108" s="74"/>
      <c r="AS108" s="86"/>
      <c r="AT108" s="80"/>
      <c r="AU108" s="80" t="s">
        <v>221</v>
      </c>
      <c r="AV108" s="80"/>
      <c r="AW108" s="86"/>
      <c r="AX108" s="80"/>
      <c r="AY108" s="88"/>
      <c r="AZ108" s="74" t="s">
        <v>214</v>
      </c>
      <c r="BA108" s="92">
        <v>4.9000000000000004</v>
      </c>
      <c r="BB108" s="92">
        <v>2.9</v>
      </c>
      <c r="BC108" s="71"/>
      <c r="BD108" s="72"/>
      <c r="BE108" s="72"/>
      <c r="BF108" s="72"/>
      <c r="BG108" s="111"/>
      <c r="BH108" s="72"/>
      <c r="BI108" s="96"/>
      <c r="BJ108" s="111"/>
      <c r="BK108" s="111"/>
      <c r="BL108" s="72"/>
      <c r="BM108" s="72"/>
      <c r="BN108" s="72"/>
      <c r="BO108" s="74"/>
      <c r="BP108" s="74"/>
      <c r="BQ108" s="104"/>
      <c r="BR108" s="104"/>
      <c r="BS108" s="71"/>
      <c r="BT108" s="71"/>
      <c r="BU108" s="71"/>
      <c r="BV108" s="96">
        <f t="shared" si="5"/>
        <v>0</v>
      </c>
      <c r="BW108" s="101"/>
      <c r="BX108" s="101"/>
    </row>
    <row r="109" spans="1:85" customFormat="1" ht="75" x14ac:dyDescent="0.25">
      <c r="A109" s="110" t="s">
        <v>202</v>
      </c>
      <c r="B109" s="5">
        <v>1942</v>
      </c>
      <c r="C109" s="8" t="s">
        <v>4</v>
      </c>
      <c r="D109" s="8" t="s">
        <v>5</v>
      </c>
      <c r="E109" s="76" t="s">
        <v>174</v>
      </c>
      <c r="F109" s="76"/>
      <c r="G109" s="77" t="s">
        <v>6</v>
      </c>
      <c r="H109" s="77" t="s">
        <v>6</v>
      </c>
      <c r="I109" s="8" t="s">
        <v>7</v>
      </c>
      <c r="J109" s="74" t="s">
        <v>7</v>
      </c>
      <c r="K109" s="74" t="s">
        <v>527</v>
      </c>
      <c r="L109" s="90" t="s">
        <v>600</v>
      </c>
      <c r="M109" s="81">
        <v>1795</v>
      </c>
      <c r="N109" s="74" t="s">
        <v>221</v>
      </c>
      <c r="O109" s="74" t="s">
        <v>221</v>
      </c>
      <c r="P109" s="74" t="s">
        <v>221</v>
      </c>
      <c r="Q109" s="81">
        <v>28798</v>
      </c>
      <c r="R109" s="74" t="s">
        <v>222</v>
      </c>
      <c r="S109" s="79">
        <f>(Q109-AA109)/Q109</f>
        <v>-6.9865962914091251E-2</v>
      </c>
      <c r="T109" s="80">
        <f>AVERAGE(Q109:Q109)</f>
        <v>28798</v>
      </c>
      <c r="U109" s="81">
        <v>34232</v>
      </c>
      <c r="V109" s="81">
        <v>37677</v>
      </c>
      <c r="W109" s="81">
        <v>33057</v>
      </c>
      <c r="X109" s="81">
        <v>31989</v>
      </c>
      <c r="Y109" s="81">
        <v>27665</v>
      </c>
      <c r="Z109" s="81">
        <v>31046</v>
      </c>
      <c r="AA109" s="81">
        <v>30810</v>
      </c>
      <c r="AB109" s="80">
        <v>20364</v>
      </c>
      <c r="AC109" s="80" t="s">
        <v>222</v>
      </c>
      <c r="AD109" s="80">
        <f>Q109/100*69</f>
        <v>19870.620000000003</v>
      </c>
      <c r="AE109" s="86">
        <v>8434</v>
      </c>
      <c r="AF109" s="80" t="s">
        <v>222</v>
      </c>
      <c r="AG109" s="81" t="s">
        <v>75</v>
      </c>
      <c r="AH109" s="86">
        <v>0</v>
      </c>
      <c r="AI109" s="86">
        <v>0</v>
      </c>
      <c r="AJ109" s="80" t="s">
        <v>222</v>
      </c>
      <c r="AK109" s="80">
        <v>0</v>
      </c>
      <c r="AL109" s="86">
        <v>0</v>
      </c>
      <c r="AM109" s="86">
        <v>0</v>
      </c>
      <c r="AN109" s="80" t="s">
        <v>222</v>
      </c>
      <c r="AO109" s="74">
        <v>0</v>
      </c>
      <c r="AP109" s="86">
        <v>0</v>
      </c>
      <c r="AQ109" s="80" t="s">
        <v>222</v>
      </c>
      <c r="AR109" s="74">
        <v>0</v>
      </c>
      <c r="AS109" s="86">
        <v>0</v>
      </c>
      <c r="AT109" s="80" t="s">
        <v>222</v>
      </c>
      <c r="AU109" s="80" t="s">
        <v>6</v>
      </c>
      <c r="AV109" s="80" t="s">
        <v>6</v>
      </c>
      <c r="AW109" s="86" t="s">
        <v>307</v>
      </c>
      <c r="AX109" s="80" t="s">
        <v>221</v>
      </c>
      <c r="AY109" s="88" t="s">
        <v>75</v>
      </c>
      <c r="AZ109" s="74" t="s">
        <v>221</v>
      </c>
      <c r="BA109" s="92" t="s">
        <v>266</v>
      </c>
      <c r="BB109" s="92" t="s">
        <v>266</v>
      </c>
      <c r="BC109" s="71" t="s">
        <v>221</v>
      </c>
      <c r="BD109" s="74">
        <v>30</v>
      </c>
      <c r="BE109" s="74">
        <v>62</v>
      </c>
      <c r="BF109" s="74">
        <v>30</v>
      </c>
      <c r="BG109" s="111">
        <v>6000</v>
      </c>
      <c r="BH109" s="74" t="s">
        <v>223</v>
      </c>
      <c r="BI109" s="96">
        <f>BG109/7*50</f>
        <v>42857.142857142855</v>
      </c>
      <c r="BJ109" s="111">
        <v>12830</v>
      </c>
      <c r="BK109" s="111">
        <v>6000</v>
      </c>
      <c r="BL109" s="74">
        <v>0</v>
      </c>
      <c r="BM109" s="74">
        <v>0</v>
      </c>
      <c r="BN109" s="74" t="s">
        <v>222</v>
      </c>
      <c r="BO109" s="74">
        <v>0</v>
      </c>
      <c r="BP109" s="74">
        <v>0</v>
      </c>
      <c r="BQ109" s="104" t="s">
        <v>75</v>
      </c>
      <c r="BR109" s="104" t="s">
        <v>396</v>
      </c>
      <c r="BS109" s="71">
        <f>AD109/100*(44)*12.86</f>
        <v>112435.91620800002</v>
      </c>
      <c r="BT109" s="71">
        <f>AD109/100*(56)*25.73</f>
        <v>286311.78945600003</v>
      </c>
      <c r="BU109" s="71">
        <v>26546.044625000002</v>
      </c>
      <c r="BV109" s="96">
        <f t="shared" si="5"/>
        <v>425293.75028900005</v>
      </c>
      <c r="BW109" s="101">
        <f>BM109*(1-0.25)*(1-0.26)*(1-0.25)*1.2</f>
        <v>0</v>
      </c>
      <c r="BX109" s="101">
        <f>SUBTOTAL(9,BM109,BW109)</f>
        <v>0</v>
      </c>
    </row>
    <row r="110" spans="1:85" customFormat="1" ht="30" x14ac:dyDescent="0.25">
      <c r="A110" s="18" t="s">
        <v>163</v>
      </c>
      <c r="B110" s="5">
        <v>1755</v>
      </c>
      <c r="C110" s="8" t="s">
        <v>4</v>
      </c>
      <c r="D110" s="8" t="s">
        <v>5</v>
      </c>
      <c r="E110" s="76" t="s">
        <v>137</v>
      </c>
      <c r="F110" s="76"/>
      <c r="G110" s="77"/>
      <c r="H110" s="77"/>
      <c r="I110" s="8" t="s">
        <v>53</v>
      </c>
      <c r="J110" s="74"/>
      <c r="K110" s="74"/>
      <c r="L110" s="90"/>
      <c r="M110" s="81"/>
      <c r="N110" s="74"/>
      <c r="O110" s="74"/>
      <c r="P110" s="74"/>
      <c r="Q110" s="81"/>
      <c r="R110" s="72"/>
      <c r="S110" s="79"/>
      <c r="T110" s="80"/>
      <c r="U110" s="81"/>
      <c r="V110" s="81"/>
      <c r="W110" s="81"/>
      <c r="X110" s="81"/>
      <c r="Y110" s="81"/>
      <c r="Z110" s="81"/>
      <c r="AA110" s="81"/>
      <c r="AB110" s="80"/>
      <c r="AC110" s="80"/>
      <c r="AD110" s="80"/>
      <c r="AE110" s="86"/>
      <c r="AF110" s="80"/>
      <c r="AG110" s="81"/>
      <c r="AH110" s="86"/>
      <c r="AI110" s="86"/>
      <c r="AJ110" s="80"/>
      <c r="AK110" s="80"/>
      <c r="AL110" s="86"/>
      <c r="AM110" s="86"/>
      <c r="AN110" s="80"/>
      <c r="AO110" s="74"/>
      <c r="AP110" s="86"/>
      <c r="AQ110" s="80"/>
      <c r="AR110" s="74"/>
      <c r="AS110" s="86"/>
      <c r="AT110" s="80"/>
      <c r="AU110" s="80" t="s">
        <v>6</v>
      </c>
      <c r="AV110" s="80"/>
      <c r="AW110" s="86"/>
      <c r="AX110" s="80"/>
      <c r="AY110" s="88"/>
      <c r="AZ110" s="74" t="s">
        <v>214</v>
      </c>
      <c r="BA110" s="92">
        <v>5.8</v>
      </c>
      <c r="BB110" s="92">
        <v>2.9</v>
      </c>
      <c r="BC110" s="71"/>
      <c r="BD110" s="72"/>
      <c r="BE110" s="72"/>
      <c r="BF110" s="72"/>
      <c r="BG110" s="111"/>
      <c r="BH110" s="72"/>
      <c r="BI110" s="96"/>
      <c r="BJ110" s="111"/>
      <c r="BK110" s="111"/>
      <c r="BL110" s="72"/>
      <c r="BM110" s="72"/>
      <c r="BN110" s="72"/>
      <c r="BO110" s="74"/>
      <c r="BP110" s="74"/>
      <c r="BQ110" s="104"/>
      <c r="BR110" s="104"/>
      <c r="BS110" s="71"/>
      <c r="BT110" s="71"/>
      <c r="BU110" s="71"/>
      <c r="BV110" s="96">
        <f t="shared" si="5"/>
        <v>0</v>
      </c>
      <c r="BW110" s="101"/>
      <c r="BX110" s="101"/>
    </row>
    <row r="111" spans="1:85" customFormat="1" ht="45" customHeight="1" x14ac:dyDescent="0.25">
      <c r="A111" s="18" t="s">
        <v>95</v>
      </c>
      <c r="B111" s="5">
        <v>1753</v>
      </c>
      <c r="C111" s="8" t="s">
        <v>4</v>
      </c>
      <c r="D111" s="8" t="s">
        <v>5</v>
      </c>
      <c r="E111" s="76" t="s">
        <v>68</v>
      </c>
      <c r="F111" s="76"/>
      <c r="G111" s="77"/>
      <c r="H111" s="77"/>
      <c r="I111" s="8" t="s">
        <v>53</v>
      </c>
      <c r="J111" s="74"/>
      <c r="K111" s="74"/>
      <c r="L111" s="90"/>
      <c r="M111" s="81"/>
      <c r="N111" s="74"/>
      <c r="O111" s="74"/>
      <c r="P111" s="74"/>
      <c r="Q111" s="81"/>
      <c r="R111" s="74"/>
      <c r="S111" s="79"/>
      <c r="T111" s="80"/>
      <c r="U111" s="81">
        <v>4500</v>
      </c>
      <c r="V111" s="81">
        <v>9500</v>
      </c>
      <c r="W111" s="81"/>
      <c r="X111" s="81"/>
      <c r="Y111" s="81"/>
      <c r="Z111" s="81"/>
      <c r="AA111" s="81"/>
      <c r="AB111" s="80"/>
      <c r="AC111" s="80"/>
      <c r="AD111" s="80"/>
      <c r="AE111" s="86"/>
      <c r="AF111" s="80"/>
      <c r="AG111" s="81"/>
      <c r="AH111" s="86"/>
      <c r="AI111" s="86"/>
      <c r="AJ111" s="80"/>
      <c r="AK111" s="80"/>
      <c r="AL111" s="86"/>
      <c r="AM111" s="86"/>
      <c r="AN111" s="80"/>
      <c r="AO111" s="74"/>
      <c r="AP111" s="86"/>
      <c r="AQ111" s="80"/>
      <c r="AR111" s="74"/>
      <c r="AS111" s="86"/>
      <c r="AT111" s="80"/>
      <c r="AU111" s="80" t="s">
        <v>6</v>
      </c>
      <c r="AV111" s="80"/>
      <c r="AW111" s="86"/>
      <c r="AX111" s="80"/>
      <c r="AY111" s="88"/>
      <c r="AZ111" s="74" t="s">
        <v>214</v>
      </c>
      <c r="BA111" s="92">
        <v>7</v>
      </c>
      <c r="BB111" s="92">
        <v>3.5</v>
      </c>
      <c r="BC111" s="71"/>
      <c r="BD111" s="74"/>
      <c r="BE111" s="74"/>
      <c r="BF111" s="74"/>
      <c r="BG111" s="111"/>
      <c r="BH111" s="74"/>
      <c r="BI111" s="96"/>
      <c r="BJ111" s="111"/>
      <c r="BK111" s="111"/>
      <c r="BL111" s="74"/>
      <c r="BM111" s="74"/>
      <c r="BN111" s="74"/>
      <c r="BO111" s="74"/>
      <c r="BP111" s="74"/>
      <c r="BQ111" s="104"/>
      <c r="BR111" s="104"/>
      <c r="BS111" s="71"/>
      <c r="BT111" s="71"/>
      <c r="BU111" s="71"/>
      <c r="BV111" s="96">
        <f t="shared" si="5"/>
        <v>0</v>
      </c>
      <c r="BW111" s="101"/>
      <c r="BX111" s="101"/>
    </row>
    <row r="112" spans="1:85" customFormat="1" ht="75" customHeight="1" x14ac:dyDescent="0.25">
      <c r="A112" s="18" t="s">
        <v>54</v>
      </c>
      <c r="B112" s="5">
        <v>1751</v>
      </c>
      <c r="C112" s="8" t="s">
        <v>4</v>
      </c>
      <c r="D112" s="8" t="s">
        <v>5</v>
      </c>
      <c r="E112" s="76" t="s">
        <v>25</v>
      </c>
      <c r="F112" s="76"/>
      <c r="G112" s="77"/>
      <c r="H112" s="77"/>
      <c r="I112" s="8" t="s">
        <v>53</v>
      </c>
      <c r="J112" s="74"/>
      <c r="K112" s="74"/>
      <c r="L112" s="90"/>
      <c r="M112" s="81"/>
      <c r="N112" s="74"/>
      <c r="O112" s="74"/>
      <c r="P112" s="74"/>
      <c r="Q112" s="81"/>
      <c r="R112" s="72"/>
      <c r="S112" s="79"/>
      <c r="T112" s="80"/>
      <c r="U112" s="81"/>
      <c r="V112" s="81"/>
      <c r="W112" s="81"/>
      <c r="X112" s="81"/>
      <c r="Y112" s="81"/>
      <c r="Z112" s="81"/>
      <c r="AA112" s="81"/>
      <c r="AB112" s="80"/>
      <c r="AC112" s="80"/>
      <c r="AD112" s="80"/>
      <c r="AE112" s="86"/>
      <c r="AF112" s="80"/>
      <c r="AG112" s="81"/>
      <c r="AH112" s="86"/>
      <c r="AI112" s="86"/>
      <c r="AJ112" s="80"/>
      <c r="AK112" s="80"/>
      <c r="AL112" s="86"/>
      <c r="AM112" s="86"/>
      <c r="AN112" s="80"/>
      <c r="AO112" s="74"/>
      <c r="AP112" s="86"/>
      <c r="AQ112" s="80"/>
      <c r="AR112" s="74"/>
      <c r="AS112" s="86"/>
      <c r="AT112" s="80"/>
      <c r="AU112" s="80" t="s">
        <v>6</v>
      </c>
      <c r="AV112" s="80"/>
      <c r="AW112" s="86"/>
      <c r="AX112" s="80"/>
      <c r="AY112" s="88"/>
      <c r="AZ112" s="74" t="s">
        <v>214</v>
      </c>
      <c r="BA112" s="92">
        <v>7.8</v>
      </c>
      <c r="BB112" s="92">
        <v>3.9</v>
      </c>
      <c r="BC112" s="71"/>
      <c r="BD112" s="72"/>
      <c r="BE112" s="72"/>
      <c r="BF112" s="72"/>
      <c r="BG112" s="111"/>
      <c r="BH112" s="72"/>
      <c r="BI112" s="96"/>
      <c r="BJ112" s="111"/>
      <c r="BK112" s="111"/>
      <c r="BL112" s="72"/>
      <c r="BM112" s="72"/>
      <c r="BN112" s="72"/>
      <c r="BO112" s="74"/>
      <c r="BP112" s="74"/>
      <c r="BQ112" s="104"/>
      <c r="BR112" s="104"/>
      <c r="BS112" s="71"/>
      <c r="BT112" s="71"/>
      <c r="BU112" s="71"/>
      <c r="BV112" s="96">
        <f t="shared" si="5"/>
        <v>0</v>
      </c>
      <c r="BW112" s="101"/>
      <c r="BX112" s="101"/>
    </row>
    <row r="113" spans="1:76" customFormat="1" ht="60" customHeight="1" x14ac:dyDescent="0.25">
      <c r="A113" s="18" t="s">
        <v>172</v>
      </c>
      <c r="B113" s="72"/>
      <c r="C113" s="8" t="s">
        <v>105</v>
      </c>
      <c r="D113" s="8" t="s">
        <v>5</v>
      </c>
      <c r="E113" s="72" t="s">
        <v>137</v>
      </c>
      <c r="F113" s="72"/>
      <c r="G113" s="77"/>
      <c r="H113" s="77" t="s">
        <v>6</v>
      </c>
      <c r="I113" s="72" t="s">
        <v>7</v>
      </c>
      <c r="J113" s="74"/>
      <c r="K113" s="74"/>
      <c r="L113" s="90"/>
      <c r="M113" s="81"/>
      <c r="N113" s="74"/>
      <c r="O113" s="74"/>
      <c r="P113" s="74"/>
      <c r="Q113" s="81"/>
      <c r="R113" s="72"/>
      <c r="S113" s="79"/>
      <c r="T113" s="80" t="e">
        <f t="shared" ref="T113:T125" si="10">AVERAGE(Q113:Q113)</f>
        <v>#DIV/0!</v>
      </c>
      <c r="U113" s="81"/>
      <c r="V113" s="81"/>
      <c r="W113" s="81">
        <v>6212</v>
      </c>
      <c r="X113" s="81">
        <v>6580</v>
      </c>
      <c r="Y113" s="81"/>
      <c r="Z113" s="81"/>
      <c r="AA113" s="81">
        <v>13119</v>
      </c>
      <c r="AB113" s="80"/>
      <c r="AC113" s="80"/>
      <c r="AD113" s="80">
        <f>Q113/100*73</f>
        <v>0</v>
      </c>
      <c r="AE113" s="86"/>
      <c r="AF113" s="80"/>
      <c r="AG113" s="81"/>
      <c r="AH113" s="86"/>
      <c r="AI113" s="86"/>
      <c r="AJ113" s="80"/>
      <c r="AK113" s="80"/>
      <c r="AL113" s="86"/>
      <c r="AM113" s="86"/>
      <c r="AN113" s="80"/>
      <c r="AO113" s="74"/>
      <c r="AP113" s="86"/>
      <c r="AQ113" s="80"/>
      <c r="AR113" s="74"/>
      <c r="AS113" s="86"/>
      <c r="AT113" s="80"/>
      <c r="AU113" s="80" t="s">
        <v>6</v>
      </c>
      <c r="AV113" s="80"/>
      <c r="AW113" s="86"/>
      <c r="AX113" s="80"/>
      <c r="AY113" s="88"/>
      <c r="AZ113" s="74" t="s">
        <v>295</v>
      </c>
      <c r="BA113" s="92" t="s">
        <v>266</v>
      </c>
      <c r="BB113" s="92" t="s">
        <v>266</v>
      </c>
      <c r="BC113" s="71"/>
      <c r="BD113" s="72"/>
      <c r="BE113" s="72"/>
      <c r="BF113" s="72">
        <v>26</v>
      </c>
      <c r="BG113" s="111"/>
      <c r="BH113" s="72"/>
      <c r="BI113" s="96">
        <f>BG113/7*50</f>
        <v>0</v>
      </c>
      <c r="BJ113" s="111"/>
      <c r="BK113" s="111">
        <v>672</v>
      </c>
      <c r="BL113" s="72"/>
      <c r="BM113" s="72"/>
      <c r="BN113" s="72"/>
      <c r="BO113" s="74">
        <v>0</v>
      </c>
      <c r="BP113" s="74">
        <v>0</v>
      </c>
      <c r="BQ113" s="104"/>
      <c r="BR113" s="104"/>
      <c r="BS113" s="71"/>
      <c r="BT113" s="71"/>
      <c r="BU113" s="71"/>
      <c r="BV113" s="96">
        <f t="shared" si="5"/>
        <v>0</v>
      </c>
      <c r="BW113" s="101"/>
      <c r="BX113" s="101"/>
    </row>
    <row r="114" spans="1:76" customFormat="1" ht="45" customHeight="1" x14ac:dyDescent="0.25">
      <c r="A114" s="18" t="s">
        <v>41</v>
      </c>
      <c r="B114" s="5">
        <v>726</v>
      </c>
      <c r="C114" s="8" t="s">
        <v>4</v>
      </c>
      <c r="D114" s="8" t="s">
        <v>5</v>
      </c>
      <c r="E114" s="95" t="s">
        <v>25</v>
      </c>
      <c r="F114" s="78"/>
      <c r="G114" s="77" t="s">
        <v>214</v>
      </c>
      <c r="H114" s="77" t="s">
        <v>6</v>
      </c>
      <c r="I114" s="8" t="s">
        <v>9</v>
      </c>
      <c r="J114" s="74" t="s">
        <v>9</v>
      </c>
      <c r="K114" s="74" t="s">
        <v>528</v>
      </c>
      <c r="L114" s="90" t="s">
        <v>599</v>
      </c>
      <c r="M114" s="81">
        <v>2401</v>
      </c>
      <c r="N114" s="74" t="s">
        <v>6</v>
      </c>
      <c r="O114" s="74" t="s">
        <v>6</v>
      </c>
      <c r="P114" s="74" t="s">
        <v>221</v>
      </c>
      <c r="Q114" s="81">
        <v>65608</v>
      </c>
      <c r="R114" s="74" t="s">
        <v>222</v>
      </c>
      <c r="S114" s="79">
        <f>(Q114-AA114)/Q114</f>
        <v>-0.10014022680160956</v>
      </c>
      <c r="T114" s="80">
        <f t="shared" si="10"/>
        <v>65608</v>
      </c>
      <c r="U114" s="81"/>
      <c r="V114" s="81"/>
      <c r="W114" s="81"/>
      <c r="X114" s="81"/>
      <c r="Y114" s="81">
        <v>63755</v>
      </c>
      <c r="Z114" s="81">
        <v>57889</v>
      </c>
      <c r="AA114" s="81">
        <v>72178</v>
      </c>
      <c r="AB114" s="80" t="s">
        <v>75</v>
      </c>
      <c r="AC114" s="80" t="s">
        <v>75</v>
      </c>
      <c r="AD114" s="80">
        <f>Q114/100*68</f>
        <v>44613.440000000002</v>
      </c>
      <c r="AE114" s="86" t="s">
        <v>75</v>
      </c>
      <c r="AF114" s="80" t="s">
        <v>75</v>
      </c>
      <c r="AG114" s="81" t="s">
        <v>75</v>
      </c>
      <c r="AH114" s="86">
        <v>531</v>
      </c>
      <c r="AI114" s="86">
        <v>4759</v>
      </c>
      <c r="AJ114" s="80" t="s">
        <v>222</v>
      </c>
      <c r="AK114" s="80">
        <v>37</v>
      </c>
      <c r="AL114" s="86">
        <v>968</v>
      </c>
      <c r="AM114" s="86">
        <v>102</v>
      </c>
      <c r="AN114" s="80" t="s">
        <v>222</v>
      </c>
      <c r="AO114" s="74" t="s">
        <v>75</v>
      </c>
      <c r="AP114" s="86" t="s">
        <v>75</v>
      </c>
      <c r="AQ114" s="80" t="s">
        <v>75</v>
      </c>
      <c r="AR114" s="74" t="s">
        <v>75</v>
      </c>
      <c r="AS114" s="86" t="s">
        <v>75</v>
      </c>
      <c r="AT114" s="80" t="s">
        <v>75</v>
      </c>
      <c r="AU114" s="80" t="s">
        <v>6</v>
      </c>
      <c r="AV114" s="80" t="s">
        <v>6</v>
      </c>
      <c r="AW114" s="86">
        <v>44086</v>
      </c>
      <c r="AX114" s="80" t="s">
        <v>6</v>
      </c>
      <c r="AY114" s="88" t="s">
        <v>397</v>
      </c>
      <c r="AZ114" s="74" t="s">
        <v>320</v>
      </c>
      <c r="BA114" s="92">
        <v>4</v>
      </c>
      <c r="BB114" s="92">
        <v>3</v>
      </c>
      <c r="BC114" s="71" t="s">
        <v>221</v>
      </c>
      <c r="BD114" s="74">
        <v>78</v>
      </c>
      <c r="BE114" s="74">
        <v>50</v>
      </c>
      <c r="BF114" s="74">
        <v>20</v>
      </c>
      <c r="BG114" s="111">
        <v>1829.92</v>
      </c>
      <c r="BH114" s="74" t="s">
        <v>222</v>
      </c>
      <c r="BI114" s="96">
        <f>BG114/7*50</f>
        <v>13070.857142857145</v>
      </c>
      <c r="BJ114" s="111">
        <v>3850</v>
      </c>
      <c r="BK114" s="111">
        <v>5600</v>
      </c>
      <c r="BL114" s="74">
        <v>36</v>
      </c>
      <c r="BM114" s="74">
        <v>21</v>
      </c>
      <c r="BN114" s="74" t="s">
        <v>222</v>
      </c>
      <c r="BO114" s="74">
        <v>17</v>
      </c>
      <c r="BP114" s="74">
        <v>8</v>
      </c>
      <c r="BQ114" s="104" t="s">
        <v>677</v>
      </c>
      <c r="BR114" s="104" t="s">
        <v>399</v>
      </c>
      <c r="BS114" s="71">
        <f>AD114/100*(31)*17.99</f>
        <v>248804.69353599998</v>
      </c>
      <c r="BT114" s="71">
        <f>AD114/100*(69)*35.98</f>
        <v>1107582.1841279999</v>
      </c>
      <c r="BU114" s="71">
        <v>551783.03937499993</v>
      </c>
      <c r="BV114" s="96">
        <f t="shared" si="5"/>
        <v>1908169.9170389997</v>
      </c>
      <c r="BW114" s="101">
        <f>BM114*(1-0.25)*(1-0.25)*(1-0.375)*1.2</f>
        <v>8.859375</v>
      </c>
      <c r="BX114" s="101">
        <f>SUBTOTAL(9,BM114,BW114)</f>
        <v>29.859375</v>
      </c>
    </row>
    <row r="115" spans="1:76" customFormat="1" ht="45" customHeight="1" x14ac:dyDescent="0.25">
      <c r="A115" s="18" t="s">
        <v>133</v>
      </c>
      <c r="B115" s="5">
        <v>2093</v>
      </c>
      <c r="C115" s="8" t="s">
        <v>4</v>
      </c>
      <c r="D115" s="8" t="s">
        <v>5</v>
      </c>
      <c r="E115" s="8" t="s">
        <v>109</v>
      </c>
      <c r="F115" s="8"/>
      <c r="G115" s="77"/>
      <c r="H115" s="77" t="s">
        <v>6</v>
      </c>
      <c r="I115" s="8" t="s">
        <v>7</v>
      </c>
      <c r="J115" s="74"/>
      <c r="K115" s="74"/>
      <c r="L115" s="90"/>
      <c r="M115" s="81"/>
      <c r="N115" s="75"/>
      <c r="O115" s="75"/>
      <c r="P115" s="75"/>
      <c r="Q115" s="81"/>
      <c r="R115" s="72"/>
      <c r="S115" s="79"/>
      <c r="T115" s="80" t="e">
        <f t="shared" si="10"/>
        <v>#DIV/0!</v>
      </c>
      <c r="U115" s="81">
        <v>1287</v>
      </c>
      <c r="V115" s="81">
        <v>1407</v>
      </c>
      <c r="W115" s="81">
        <v>1873</v>
      </c>
      <c r="X115" s="81">
        <v>1558</v>
      </c>
      <c r="Y115" s="81"/>
      <c r="Z115" s="81"/>
      <c r="AA115" s="81">
        <v>1009</v>
      </c>
      <c r="AB115" s="80"/>
      <c r="AC115" s="80"/>
      <c r="AD115" s="80"/>
      <c r="AE115" s="86"/>
      <c r="AF115" s="80"/>
      <c r="AG115" s="81"/>
      <c r="AH115" s="86"/>
      <c r="AI115" s="86"/>
      <c r="AJ115" s="80"/>
      <c r="AK115" s="80"/>
      <c r="AL115" s="86"/>
      <c r="AM115" s="86"/>
      <c r="AN115" s="80"/>
      <c r="AO115" s="75"/>
      <c r="AP115" s="86"/>
      <c r="AQ115" s="80"/>
      <c r="AR115" s="75"/>
      <c r="AS115" s="86"/>
      <c r="AT115" s="80"/>
      <c r="AU115" s="80" t="s">
        <v>6</v>
      </c>
      <c r="AV115" s="80"/>
      <c r="AW115" s="86"/>
      <c r="AX115" s="80"/>
      <c r="AY115" s="88"/>
      <c r="AZ115" s="75" t="s">
        <v>295</v>
      </c>
      <c r="BA115" s="92" t="s">
        <v>266</v>
      </c>
      <c r="BB115" s="92" t="s">
        <v>266</v>
      </c>
      <c r="BC115" s="71"/>
      <c r="BD115" s="72"/>
      <c r="BE115" s="72"/>
      <c r="BF115" s="72">
        <v>26</v>
      </c>
      <c r="BG115" s="111"/>
      <c r="BH115" s="72"/>
      <c r="BI115" s="96">
        <f>BG115/7*50</f>
        <v>0</v>
      </c>
      <c r="BJ115" s="111"/>
      <c r="BK115" s="111">
        <v>744</v>
      </c>
      <c r="BL115" s="72"/>
      <c r="BM115" s="72"/>
      <c r="BN115" s="72"/>
      <c r="BO115" s="74">
        <v>0</v>
      </c>
      <c r="BP115" s="74">
        <v>0</v>
      </c>
      <c r="BQ115" s="105"/>
      <c r="BR115" s="105"/>
      <c r="BS115" s="71"/>
      <c r="BT115" s="71"/>
      <c r="BU115" s="71"/>
      <c r="BV115" s="96">
        <f t="shared" si="5"/>
        <v>0</v>
      </c>
      <c r="BW115" s="102"/>
      <c r="BX115" s="102"/>
    </row>
    <row r="116" spans="1:76" customFormat="1" ht="60" customHeight="1" x14ac:dyDescent="0.25">
      <c r="A116" s="110" t="s">
        <v>60</v>
      </c>
      <c r="B116" s="5">
        <v>2320</v>
      </c>
      <c r="C116" s="8" t="s">
        <v>4</v>
      </c>
      <c r="D116" s="8" t="s">
        <v>5</v>
      </c>
      <c r="E116" s="95" t="s">
        <v>25</v>
      </c>
      <c r="F116" s="78"/>
      <c r="G116" s="77" t="s">
        <v>6</v>
      </c>
      <c r="H116" s="77" t="s">
        <v>6</v>
      </c>
      <c r="I116" s="8" t="s">
        <v>7</v>
      </c>
      <c r="J116" s="74" t="s">
        <v>7</v>
      </c>
      <c r="K116" s="74" t="s">
        <v>526</v>
      </c>
      <c r="L116" s="90" t="s">
        <v>600</v>
      </c>
      <c r="M116" s="81">
        <v>468</v>
      </c>
      <c r="N116" s="74" t="s">
        <v>6</v>
      </c>
      <c r="O116" s="74" t="s">
        <v>6</v>
      </c>
      <c r="P116" s="74" t="s">
        <v>221</v>
      </c>
      <c r="Q116" s="81">
        <v>4447</v>
      </c>
      <c r="R116" s="74" t="s">
        <v>223</v>
      </c>
      <c r="S116" s="79">
        <f>(Q116-AA116)/Q116</f>
        <v>1.5066336856307623E-2</v>
      </c>
      <c r="T116" s="80">
        <f t="shared" si="10"/>
        <v>4447</v>
      </c>
      <c r="U116" s="81">
        <v>2473</v>
      </c>
      <c r="V116" s="81">
        <v>2626</v>
      </c>
      <c r="W116" s="81">
        <v>3676</v>
      </c>
      <c r="X116" s="81">
        <v>3020</v>
      </c>
      <c r="Y116" s="81">
        <v>3355</v>
      </c>
      <c r="Z116" s="81">
        <v>4504</v>
      </c>
      <c r="AA116" s="81">
        <v>4380</v>
      </c>
      <c r="AB116" s="80">
        <v>3094</v>
      </c>
      <c r="AC116" s="80" t="s">
        <v>223</v>
      </c>
      <c r="AD116" s="80">
        <f>Q116/100*75</f>
        <v>3335.25</v>
      </c>
      <c r="AE116" s="86">
        <v>1353</v>
      </c>
      <c r="AF116" s="80" t="s">
        <v>223</v>
      </c>
      <c r="AG116" s="81" t="s">
        <v>75</v>
      </c>
      <c r="AH116" s="86">
        <v>16</v>
      </c>
      <c r="AI116" s="86">
        <v>840</v>
      </c>
      <c r="AJ116" s="80" t="s">
        <v>223</v>
      </c>
      <c r="AK116" s="80" t="s">
        <v>75</v>
      </c>
      <c r="AL116" s="86" t="s">
        <v>75</v>
      </c>
      <c r="AM116" s="86">
        <v>12</v>
      </c>
      <c r="AN116" s="80" t="s">
        <v>223</v>
      </c>
      <c r="AO116" s="74">
        <v>1</v>
      </c>
      <c r="AP116" s="86">
        <v>21</v>
      </c>
      <c r="AQ116" s="80" t="s">
        <v>223</v>
      </c>
      <c r="AR116" s="74" t="s">
        <v>75</v>
      </c>
      <c r="AS116" s="86" t="s">
        <v>75</v>
      </c>
      <c r="AT116" s="80" t="s">
        <v>75</v>
      </c>
      <c r="AU116" s="80" t="s">
        <v>6</v>
      </c>
      <c r="AV116" s="80" t="s">
        <v>6</v>
      </c>
      <c r="AW116" s="86" t="s">
        <v>75</v>
      </c>
      <c r="AX116" s="80" t="s">
        <v>6</v>
      </c>
      <c r="AY116" s="88" t="s">
        <v>75</v>
      </c>
      <c r="AZ116" s="74" t="s">
        <v>6</v>
      </c>
      <c r="BA116" s="92">
        <v>3</v>
      </c>
      <c r="BB116" s="92">
        <v>1</v>
      </c>
      <c r="BC116" s="71" t="s">
        <v>221</v>
      </c>
      <c r="BD116" s="74">
        <v>36</v>
      </c>
      <c r="BE116" s="74">
        <v>35</v>
      </c>
      <c r="BF116" s="74">
        <v>38</v>
      </c>
      <c r="BG116" s="111">
        <v>5700</v>
      </c>
      <c r="BH116" s="74" t="s">
        <v>223</v>
      </c>
      <c r="BI116" s="96">
        <f>BG116/7*50</f>
        <v>40714.285714285717</v>
      </c>
      <c r="BJ116" s="111">
        <v>3500</v>
      </c>
      <c r="BK116" s="111">
        <v>8000</v>
      </c>
      <c r="BL116" s="74">
        <v>0</v>
      </c>
      <c r="BM116" s="74">
        <v>0</v>
      </c>
      <c r="BN116" s="74" t="s">
        <v>75</v>
      </c>
      <c r="BO116" s="74">
        <v>0</v>
      </c>
      <c r="BP116" s="74">
        <v>0</v>
      </c>
      <c r="BQ116" s="104" t="s">
        <v>400</v>
      </c>
      <c r="BR116" s="104" t="s">
        <v>401</v>
      </c>
      <c r="BS116" s="71">
        <f>AD116/100*(47)*17.99</f>
        <v>28200.539324999994</v>
      </c>
      <c r="BT116" s="71">
        <f>AD116/100*(53)*35.98</f>
        <v>63601.216349999988</v>
      </c>
      <c r="BU116" s="71">
        <v>19836.556249999998</v>
      </c>
      <c r="BV116" s="96">
        <f t="shared" si="5"/>
        <v>111638.31192499997</v>
      </c>
      <c r="BW116" s="101">
        <f>BM116*(1-0.25)*(1-0.21)*(1-0.25)*1.2</f>
        <v>0</v>
      </c>
      <c r="BX116" s="101">
        <f>SUBTOTAL(9,BM116,BW116)</f>
        <v>0</v>
      </c>
    </row>
    <row r="117" spans="1:76" customFormat="1" ht="45" customHeight="1" x14ac:dyDescent="0.25">
      <c r="A117" s="18" t="s">
        <v>77</v>
      </c>
      <c r="B117" s="5">
        <v>655</v>
      </c>
      <c r="C117" s="8" t="s">
        <v>4</v>
      </c>
      <c r="D117" s="8" t="s">
        <v>5</v>
      </c>
      <c r="E117" s="8" t="s">
        <v>68</v>
      </c>
      <c r="F117" s="8" t="s">
        <v>74</v>
      </c>
      <c r="G117" s="77"/>
      <c r="H117" s="77" t="s">
        <v>6</v>
      </c>
      <c r="I117" s="8" t="s">
        <v>9</v>
      </c>
      <c r="J117" s="75"/>
      <c r="K117" s="75"/>
      <c r="L117" s="122"/>
      <c r="M117" s="81"/>
      <c r="N117" s="74"/>
      <c r="O117" s="74"/>
      <c r="P117" s="74"/>
      <c r="Q117" s="81"/>
      <c r="R117" s="72"/>
      <c r="S117" s="79"/>
      <c r="T117" s="80" t="e">
        <f t="shared" si="10"/>
        <v>#DIV/0!</v>
      </c>
      <c r="U117" s="81"/>
      <c r="V117" s="81"/>
      <c r="W117" s="81"/>
      <c r="X117" s="81"/>
      <c r="Y117" s="81">
        <v>19474</v>
      </c>
      <c r="Z117" s="81">
        <v>26288</v>
      </c>
      <c r="AA117" s="81">
        <v>24170</v>
      </c>
      <c r="AB117" s="80"/>
      <c r="AC117" s="80"/>
      <c r="AD117" s="80"/>
      <c r="AE117" s="86"/>
      <c r="AF117" s="80"/>
      <c r="AG117" s="81"/>
      <c r="AH117" s="86"/>
      <c r="AI117" s="86"/>
      <c r="AJ117" s="80"/>
      <c r="AK117" s="80"/>
      <c r="AL117" s="86"/>
      <c r="AM117" s="86"/>
      <c r="AN117" s="80"/>
      <c r="AO117" s="74"/>
      <c r="AP117" s="86"/>
      <c r="AQ117" s="80"/>
      <c r="AR117" s="74"/>
      <c r="AS117" s="86"/>
      <c r="AT117" s="80"/>
      <c r="AU117" s="80" t="s">
        <v>6</v>
      </c>
      <c r="AV117" s="80"/>
      <c r="AW117" s="86"/>
      <c r="AX117" s="80"/>
      <c r="AY117" s="88"/>
      <c r="AZ117" s="74" t="s">
        <v>221</v>
      </c>
      <c r="BA117" s="92" t="s">
        <v>266</v>
      </c>
      <c r="BB117" s="92" t="s">
        <v>266</v>
      </c>
      <c r="BC117" s="71"/>
      <c r="BD117" s="72"/>
      <c r="BE117" s="72"/>
      <c r="BF117" s="72" t="s">
        <v>609</v>
      </c>
      <c r="BG117" s="111"/>
      <c r="BH117" s="72"/>
      <c r="BI117" s="96"/>
      <c r="BJ117" s="111"/>
      <c r="BK117" s="111" t="s">
        <v>609</v>
      </c>
      <c r="BL117" s="72"/>
      <c r="BM117" s="72"/>
      <c r="BN117" s="72"/>
      <c r="BO117" s="75" t="s">
        <v>609</v>
      </c>
      <c r="BP117" s="75" t="s">
        <v>609</v>
      </c>
      <c r="BQ117" s="104"/>
      <c r="BR117" s="104"/>
      <c r="BS117" s="71"/>
      <c r="BT117" s="71"/>
      <c r="BU117" s="71"/>
      <c r="BV117" s="96">
        <f t="shared" si="5"/>
        <v>0</v>
      </c>
      <c r="BW117" s="101"/>
      <c r="BX117" s="101"/>
    </row>
    <row r="118" spans="1:76" customFormat="1" ht="45" customHeight="1" x14ac:dyDescent="0.25">
      <c r="A118" s="110" t="s">
        <v>165</v>
      </c>
      <c r="B118" s="5">
        <v>1933</v>
      </c>
      <c r="C118" s="8" t="s">
        <v>4</v>
      </c>
      <c r="D118" s="8" t="s">
        <v>5</v>
      </c>
      <c r="E118" s="76" t="s">
        <v>137</v>
      </c>
      <c r="F118" s="94"/>
      <c r="G118" s="77" t="s">
        <v>6</v>
      </c>
      <c r="H118" s="77"/>
      <c r="I118" s="8" t="s">
        <v>7</v>
      </c>
      <c r="J118" s="74" t="s">
        <v>7</v>
      </c>
      <c r="K118" s="74" t="s">
        <v>526</v>
      </c>
      <c r="L118" s="90" t="s">
        <v>600</v>
      </c>
      <c r="M118" s="81">
        <v>469</v>
      </c>
      <c r="N118" s="74" t="s">
        <v>6</v>
      </c>
      <c r="O118" s="74" t="s">
        <v>221</v>
      </c>
      <c r="P118" s="74" t="s">
        <v>221</v>
      </c>
      <c r="Q118" s="81">
        <v>3875</v>
      </c>
      <c r="R118" s="74" t="s">
        <v>222</v>
      </c>
      <c r="S118" s="79"/>
      <c r="T118" s="80">
        <f t="shared" si="10"/>
        <v>3875</v>
      </c>
      <c r="U118" s="81">
        <v>5611</v>
      </c>
      <c r="V118" s="81">
        <v>5788</v>
      </c>
      <c r="W118" s="81">
        <v>4209</v>
      </c>
      <c r="X118" s="81">
        <v>5159</v>
      </c>
      <c r="Y118" s="81">
        <v>6012</v>
      </c>
      <c r="Z118" s="81">
        <v>6764</v>
      </c>
      <c r="AA118" s="81"/>
      <c r="AB118" s="80">
        <v>3593</v>
      </c>
      <c r="AC118" s="80" t="s">
        <v>223</v>
      </c>
      <c r="AD118" s="80">
        <f>Q118/100*75</f>
        <v>2906.25</v>
      </c>
      <c r="AE118" s="86">
        <v>282</v>
      </c>
      <c r="AF118" s="80" t="s">
        <v>223</v>
      </c>
      <c r="AG118" s="81" t="s">
        <v>402</v>
      </c>
      <c r="AH118" s="86" t="s">
        <v>264</v>
      </c>
      <c r="AI118" s="86" t="s">
        <v>264</v>
      </c>
      <c r="AJ118" s="80" t="s">
        <v>223</v>
      </c>
      <c r="AK118" s="80" t="s">
        <v>264</v>
      </c>
      <c r="AL118" s="86" t="s">
        <v>404</v>
      </c>
      <c r="AM118" s="86" t="s">
        <v>264</v>
      </c>
      <c r="AN118" s="80" t="s">
        <v>223</v>
      </c>
      <c r="AO118" s="74" t="s">
        <v>264</v>
      </c>
      <c r="AP118" s="86" t="s">
        <v>264</v>
      </c>
      <c r="AQ118" s="80" t="s">
        <v>223</v>
      </c>
      <c r="AR118" s="74" t="s">
        <v>264</v>
      </c>
      <c r="AS118" s="86" t="s">
        <v>264</v>
      </c>
      <c r="AT118" s="80" t="s">
        <v>223</v>
      </c>
      <c r="AU118" s="80" t="s">
        <v>6</v>
      </c>
      <c r="AV118" s="80" t="s">
        <v>6</v>
      </c>
      <c r="AW118" s="86" t="s">
        <v>75</v>
      </c>
      <c r="AX118" s="80" t="s">
        <v>6</v>
      </c>
      <c r="AY118" s="88" t="s">
        <v>403</v>
      </c>
      <c r="AZ118" s="74" t="s">
        <v>6</v>
      </c>
      <c r="BA118" s="92">
        <v>10</v>
      </c>
      <c r="BB118" s="92">
        <v>5</v>
      </c>
      <c r="BC118" s="71" t="s">
        <v>221</v>
      </c>
      <c r="BD118" s="74">
        <v>60</v>
      </c>
      <c r="BE118" s="74">
        <v>60</v>
      </c>
      <c r="BF118" s="74"/>
      <c r="BG118" s="111">
        <v>5628</v>
      </c>
      <c r="BH118" s="74" t="s">
        <v>223</v>
      </c>
      <c r="BI118" s="96">
        <f t="shared" ref="BI118:BI125" si="11">BG118/7*50</f>
        <v>40200</v>
      </c>
      <c r="BJ118" s="111">
        <v>11340</v>
      </c>
      <c r="BK118" s="111"/>
      <c r="BL118" s="74">
        <v>1</v>
      </c>
      <c r="BM118" s="74">
        <v>0.8</v>
      </c>
      <c r="BN118" s="74" t="s">
        <v>222</v>
      </c>
      <c r="BO118" s="74"/>
      <c r="BP118" s="74"/>
      <c r="BQ118" s="104" t="s">
        <v>405</v>
      </c>
      <c r="BR118" s="104" t="s">
        <v>406</v>
      </c>
      <c r="BS118" s="71">
        <f>AD118/100*(47)*14.08</f>
        <v>19232.400000000001</v>
      </c>
      <c r="BT118" s="71">
        <f>AD118/100*(53)*28.16</f>
        <v>43375.199999999997</v>
      </c>
      <c r="BU118" s="71"/>
      <c r="BV118" s="96">
        <f t="shared" si="5"/>
        <v>62607.6</v>
      </c>
      <c r="BW118" s="101">
        <f>BM118*(1-0.25)*(1-0.21)*(1-0.25)*1.2</f>
        <v>0.42660000000000003</v>
      </c>
      <c r="BX118" s="101">
        <f>SUBTOTAL(9,BM118,BW118)</f>
        <v>1.2266000000000001</v>
      </c>
    </row>
    <row r="119" spans="1:76" customFormat="1" ht="45" customHeight="1" x14ac:dyDescent="0.25">
      <c r="A119" s="18" t="s">
        <v>46</v>
      </c>
      <c r="B119" s="5">
        <v>1513</v>
      </c>
      <c r="C119" s="8" t="s">
        <v>4</v>
      </c>
      <c r="D119" s="8" t="s">
        <v>5</v>
      </c>
      <c r="E119" s="95" t="s">
        <v>25</v>
      </c>
      <c r="F119" s="78"/>
      <c r="G119" s="77" t="s">
        <v>6</v>
      </c>
      <c r="H119" s="77" t="s">
        <v>6</v>
      </c>
      <c r="I119" s="8" t="s">
        <v>7</v>
      </c>
      <c r="J119" s="74" t="s">
        <v>7</v>
      </c>
      <c r="K119" s="74" t="s">
        <v>526</v>
      </c>
      <c r="L119" s="90" t="s">
        <v>600</v>
      </c>
      <c r="M119" s="81">
        <v>450</v>
      </c>
      <c r="N119" s="74" t="s">
        <v>6</v>
      </c>
      <c r="O119" s="74" t="s">
        <v>6</v>
      </c>
      <c r="P119" s="74" t="s">
        <v>221</v>
      </c>
      <c r="Q119" s="81">
        <v>4000</v>
      </c>
      <c r="R119" s="74" t="s">
        <v>222</v>
      </c>
      <c r="S119" s="79">
        <f>(Q119-AA119)/Q119</f>
        <v>-1.02075</v>
      </c>
      <c r="T119" s="80">
        <f t="shared" si="10"/>
        <v>4000</v>
      </c>
      <c r="U119" s="81">
        <v>7501</v>
      </c>
      <c r="V119" s="81">
        <v>4454</v>
      </c>
      <c r="W119" s="81">
        <v>5260</v>
      </c>
      <c r="X119" s="81"/>
      <c r="Y119" s="81">
        <v>3033</v>
      </c>
      <c r="Z119" s="81">
        <v>3254</v>
      </c>
      <c r="AA119" s="81">
        <v>8083</v>
      </c>
      <c r="AB119" s="80">
        <v>3500</v>
      </c>
      <c r="AC119" s="80" t="s">
        <v>223</v>
      </c>
      <c r="AD119" s="80">
        <f>Q119/100*75</f>
        <v>3000</v>
      </c>
      <c r="AE119" s="86">
        <v>500</v>
      </c>
      <c r="AF119" s="80" t="s">
        <v>223</v>
      </c>
      <c r="AG119" s="81" t="s">
        <v>407</v>
      </c>
      <c r="AH119" s="86">
        <v>0</v>
      </c>
      <c r="AI119" s="86">
        <v>0</v>
      </c>
      <c r="AJ119" s="80" t="s">
        <v>222</v>
      </c>
      <c r="AK119" s="80">
        <v>7</v>
      </c>
      <c r="AL119" s="86" t="s">
        <v>409</v>
      </c>
      <c r="AM119" s="86">
        <v>50</v>
      </c>
      <c r="AN119" s="80" t="s">
        <v>223</v>
      </c>
      <c r="AO119" s="74">
        <v>4</v>
      </c>
      <c r="AP119" s="86">
        <v>250</v>
      </c>
      <c r="AQ119" s="80" t="s">
        <v>223</v>
      </c>
      <c r="AR119" s="74">
        <v>11</v>
      </c>
      <c r="AS119" s="86">
        <v>320</v>
      </c>
      <c r="AT119" s="80" t="s">
        <v>223</v>
      </c>
      <c r="AU119" s="80" t="s">
        <v>6</v>
      </c>
      <c r="AV119" s="80" t="s">
        <v>6</v>
      </c>
      <c r="AW119" s="86">
        <v>50000</v>
      </c>
      <c r="AX119" s="80" t="s">
        <v>6</v>
      </c>
      <c r="AY119" s="88" t="s">
        <v>408</v>
      </c>
      <c r="AZ119" s="74" t="s">
        <v>6</v>
      </c>
      <c r="BA119" s="92">
        <v>4.5</v>
      </c>
      <c r="BB119" s="92">
        <v>1</v>
      </c>
      <c r="BC119" s="71" t="s">
        <v>6</v>
      </c>
      <c r="BD119" s="74">
        <v>60</v>
      </c>
      <c r="BE119" s="74">
        <v>42</v>
      </c>
      <c r="BF119" s="74">
        <v>52</v>
      </c>
      <c r="BG119" s="111">
        <v>14400</v>
      </c>
      <c r="BH119" s="74" t="s">
        <v>222</v>
      </c>
      <c r="BI119" s="96">
        <f t="shared" si="11"/>
        <v>102857.14285714287</v>
      </c>
      <c r="BJ119" s="111">
        <v>15650</v>
      </c>
      <c r="BK119" s="111">
        <v>16580</v>
      </c>
      <c r="BL119" s="74">
        <v>0</v>
      </c>
      <c r="BM119" s="74">
        <v>0</v>
      </c>
      <c r="BN119" s="74" t="s">
        <v>222</v>
      </c>
      <c r="BO119" s="74">
        <v>0</v>
      </c>
      <c r="BP119" s="74">
        <v>0</v>
      </c>
      <c r="BQ119" s="104" t="s">
        <v>411</v>
      </c>
      <c r="BR119" s="104" t="s">
        <v>412</v>
      </c>
      <c r="BS119" s="71">
        <f>AD119/100*(47)*17.99</f>
        <v>25365.899999999998</v>
      </c>
      <c r="BT119" s="71">
        <f>AD119/100*(53)*35.98</f>
        <v>57208.2</v>
      </c>
      <c r="BU119" s="71">
        <v>56681.834999999999</v>
      </c>
      <c r="BV119" s="96">
        <f t="shared" si="5"/>
        <v>139255.935</v>
      </c>
      <c r="BW119" s="101">
        <f>BM119*(1-0.25)*(1-0.21)*(1-0.25)*1.2</f>
        <v>0</v>
      </c>
      <c r="BX119" s="101">
        <f>SUBTOTAL(9,BM119,BW119)</f>
        <v>0</v>
      </c>
    </row>
    <row r="120" spans="1:76" customFormat="1" ht="45" customHeight="1" x14ac:dyDescent="0.25">
      <c r="A120" s="116" t="s">
        <v>106</v>
      </c>
      <c r="B120" s="5"/>
      <c r="C120" s="8" t="s">
        <v>105</v>
      </c>
      <c r="D120" s="8" t="s">
        <v>5</v>
      </c>
      <c r="E120" s="8" t="s">
        <v>68</v>
      </c>
      <c r="F120" s="8"/>
      <c r="G120" s="77" t="s">
        <v>214</v>
      </c>
      <c r="H120" s="77" t="s">
        <v>6</v>
      </c>
      <c r="I120" s="8" t="s">
        <v>7</v>
      </c>
      <c r="J120" s="74" t="s">
        <v>7</v>
      </c>
      <c r="K120" s="74" t="s">
        <v>527</v>
      </c>
      <c r="L120" s="90" t="s">
        <v>599</v>
      </c>
      <c r="M120" s="81" t="s">
        <v>538</v>
      </c>
      <c r="N120" s="74" t="s">
        <v>6</v>
      </c>
      <c r="O120" s="74" t="s">
        <v>221</v>
      </c>
      <c r="P120" s="74" t="s">
        <v>221</v>
      </c>
      <c r="Q120" s="81">
        <v>10000</v>
      </c>
      <c r="R120" s="74" t="s">
        <v>223</v>
      </c>
      <c r="S120" s="79"/>
      <c r="T120" s="80">
        <f t="shared" si="10"/>
        <v>10000</v>
      </c>
      <c r="U120" s="81"/>
      <c r="V120" s="81"/>
      <c r="W120" s="81"/>
      <c r="X120" s="81"/>
      <c r="Y120" s="81"/>
      <c r="Z120" s="81"/>
      <c r="AA120" s="81" t="s">
        <v>390</v>
      </c>
      <c r="AB120" s="80">
        <v>8000</v>
      </c>
      <c r="AC120" s="80" t="s">
        <v>223</v>
      </c>
      <c r="AD120" s="80">
        <f>Q120/100*69</f>
        <v>6900</v>
      </c>
      <c r="AE120" s="86">
        <v>2000</v>
      </c>
      <c r="AF120" s="80" t="s">
        <v>223</v>
      </c>
      <c r="AG120" s="81" t="s">
        <v>75</v>
      </c>
      <c r="AH120" s="86">
        <v>10</v>
      </c>
      <c r="AI120" s="86">
        <v>100</v>
      </c>
      <c r="AJ120" s="80" t="s">
        <v>223</v>
      </c>
      <c r="AK120" s="80">
        <v>11</v>
      </c>
      <c r="AL120" s="86">
        <v>650</v>
      </c>
      <c r="AM120" s="86">
        <v>10</v>
      </c>
      <c r="AN120" s="80" t="s">
        <v>223</v>
      </c>
      <c r="AO120" s="74">
        <v>21</v>
      </c>
      <c r="AP120" s="86">
        <v>480</v>
      </c>
      <c r="AQ120" s="80" t="s">
        <v>223</v>
      </c>
      <c r="AR120" s="74">
        <v>15</v>
      </c>
      <c r="AS120" s="86">
        <v>635</v>
      </c>
      <c r="AT120" s="80" t="s">
        <v>222</v>
      </c>
      <c r="AU120" s="80" t="s">
        <v>6</v>
      </c>
      <c r="AV120" s="80" t="s">
        <v>6</v>
      </c>
      <c r="AW120" s="86">
        <v>10352</v>
      </c>
      <c r="AX120" s="80" t="s">
        <v>6</v>
      </c>
      <c r="AY120" s="88">
        <v>789</v>
      </c>
      <c r="AZ120" s="74" t="s">
        <v>221</v>
      </c>
      <c r="BA120" s="92" t="s">
        <v>266</v>
      </c>
      <c r="BB120" s="92" t="s">
        <v>266</v>
      </c>
      <c r="BC120" s="71" t="s">
        <v>221</v>
      </c>
      <c r="BD120" s="74">
        <v>45</v>
      </c>
      <c r="BE120" s="74"/>
      <c r="BF120" s="74">
        <v>15</v>
      </c>
      <c r="BG120" s="111">
        <v>16027</v>
      </c>
      <c r="BH120" s="74" t="s">
        <v>222</v>
      </c>
      <c r="BI120" s="96">
        <f t="shared" si="11"/>
        <v>114478.57142857142</v>
      </c>
      <c r="BJ120" s="111"/>
      <c r="BK120" s="111">
        <v>8830</v>
      </c>
      <c r="BL120" s="74">
        <v>0</v>
      </c>
      <c r="BM120" s="74">
        <v>0</v>
      </c>
      <c r="BN120" s="74" t="s">
        <v>75</v>
      </c>
      <c r="BO120" s="74">
        <v>0</v>
      </c>
      <c r="BP120" s="74">
        <v>0</v>
      </c>
      <c r="BQ120" s="104" t="s">
        <v>75</v>
      </c>
      <c r="BR120" s="104" t="s">
        <v>75</v>
      </c>
      <c r="BS120" s="71">
        <f>AD120/100*(44)*12.91</f>
        <v>39194.76</v>
      </c>
      <c r="BT120" s="71">
        <f>AD120/100*(56)*25.82</f>
        <v>99768.48</v>
      </c>
      <c r="BU120" s="71">
        <v>64939.503749999989</v>
      </c>
      <c r="BV120" s="96">
        <f t="shared" si="5"/>
        <v>203902.74374999997</v>
      </c>
      <c r="BW120" s="101">
        <f>BM120*(1-0.25)*(1-0.26)*(1-0.25)*1.2</f>
        <v>0</v>
      </c>
      <c r="BX120" s="101">
        <f>SUBTOTAL(9,BM120,BW120)</f>
        <v>0</v>
      </c>
    </row>
    <row r="121" spans="1:76" customFormat="1" ht="45" customHeight="1" x14ac:dyDescent="0.25">
      <c r="A121" s="113" t="s">
        <v>102</v>
      </c>
      <c r="B121" s="5">
        <v>2212</v>
      </c>
      <c r="C121" s="8" t="s">
        <v>4</v>
      </c>
      <c r="D121" s="8" t="s">
        <v>5</v>
      </c>
      <c r="E121" s="8" t="s">
        <v>68</v>
      </c>
      <c r="F121" s="8"/>
      <c r="G121" s="77"/>
      <c r="H121" s="77" t="s">
        <v>6</v>
      </c>
      <c r="I121" s="8" t="s">
        <v>9</v>
      </c>
      <c r="J121" s="74"/>
      <c r="K121" s="74"/>
      <c r="L121" s="90"/>
      <c r="M121" s="81"/>
      <c r="N121" s="74"/>
      <c r="O121" s="74"/>
      <c r="P121" s="74"/>
      <c r="Q121" s="81"/>
      <c r="R121" s="72"/>
      <c r="S121" s="79"/>
      <c r="T121" s="80" t="e">
        <f t="shared" si="10"/>
        <v>#DIV/0!</v>
      </c>
      <c r="U121" s="81">
        <v>2846</v>
      </c>
      <c r="V121" s="81">
        <v>3384</v>
      </c>
      <c r="W121" s="81">
        <v>2724</v>
      </c>
      <c r="X121" s="81">
        <v>2989</v>
      </c>
      <c r="Y121" s="81">
        <v>2637</v>
      </c>
      <c r="Z121" s="81">
        <v>3390</v>
      </c>
      <c r="AA121" s="81">
        <v>3273</v>
      </c>
      <c r="AB121" s="80"/>
      <c r="AC121" s="80"/>
      <c r="AD121" s="80">
        <f>Q121/100*77</f>
        <v>0</v>
      </c>
      <c r="AE121" s="86"/>
      <c r="AF121" s="80"/>
      <c r="AG121" s="81"/>
      <c r="AH121" s="86"/>
      <c r="AI121" s="86"/>
      <c r="AJ121" s="80"/>
      <c r="AK121" s="80"/>
      <c r="AL121" s="86"/>
      <c r="AM121" s="86"/>
      <c r="AN121" s="80"/>
      <c r="AO121" s="74"/>
      <c r="AP121" s="86"/>
      <c r="AQ121" s="80"/>
      <c r="AR121" s="74"/>
      <c r="AS121" s="86"/>
      <c r="AT121" s="80"/>
      <c r="AU121" s="80" t="s">
        <v>6</v>
      </c>
      <c r="AV121" s="80"/>
      <c r="AW121" s="86"/>
      <c r="AX121" s="80"/>
      <c r="AY121" s="88"/>
      <c r="AZ121" s="74" t="s">
        <v>295</v>
      </c>
      <c r="BA121" s="92" t="s">
        <v>266</v>
      </c>
      <c r="BB121" s="92" t="s">
        <v>266</v>
      </c>
      <c r="BC121" s="71"/>
      <c r="BD121" s="72"/>
      <c r="BE121" s="72">
        <v>30</v>
      </c>
      <c r="BF121" s="72">
        <v>40</v>
      </c>
      <c r="BG121" s="111"/>
      <c r="BH121" s="72"/>
      <c r="BI121" s="96">
        <f t="shared" si="11"/>
        <v>0</v>
      </c>
      <c r="BJ121" s="111">
        <v>1130</v>
      </c>
      <c r="BK121" s="111">
        <v>900</v>
      </c>
      <c r="BL121" s="72"/>
      <c r="BM121" s="72"/>
      <c r="BN121" s="72"/>
      <c r="BO121" s="74">
        <v>0</v>
      </c>
      <c r="BP121" s="74">
        <v>0</v>
      </c>
      <c r="BQ121" s="104"/>
      <c r="BR121" s="104"/>
      <c r="BS121" s="71"/>
      <c r="BT121" s="71"/>
      <c r="BU121" s="71"/>
      <c r="BV121" s="96">
        <f t="shared" si="5"/>
        <v>0</v>
      </c>
      <c r="BW121" s="101"/>
      <c r="BX121" s="101"/>
    </row>
    <row r="122" spans="1:76" customFormat="1" ht="75" x14ac:dyDescent="0.25">
      <c r="A122" s="117" t="s">
        <v>519</v>
      </c>
      <c r="B122" s="72"/>
      <c r="C122" s="8" t="s">
        <v>105</v>
      </c>
      <c r="D122" s="72" t="s">
        <v>5</v>
      </c>
      <c r="E122" s="72" t="s">
        <v>174</v>
      </c>
      <c r="F122" s="72"/>
      <c r="G122" s="72" t="s">
        <v>6</v>
      </c>
      <c r="H122" s="72"/>
      <c r="I122" s="74" t="s">
        <v>7</v>
      </c>
      <c r="J122" s="74" t="s">
        <v>7</v>
      </c>
      <c r="K122" s="74" t="s">
        <v>526</v>
      </c>
      <c r="L122" s="90" t="s">
        <v>600</v>
      </c>
      <c r="M122" s="81">
        <v>876</v>
      </c>
      <c r="N122" s="74" t="s">
        <v>6</v>
      </c>
      <c r="O122" s="74" t="s">
        <v>6</v>
      </c>
      <c r="P122" s="74" t="s">
        <v>221</v>
      </c>
      <c r="Q122" s="81">
        <v>6673</v>
      </c>
      <c r="R122" s="74" t="s">
        <v>222</v>
      </c>
      <c r="S122" s="79">
        <f>(Q122-AA122)/Q122</f>
        <v>0.12288326090214297</v>
      </c>
      <c r="T122" s="80">
        <f t="shared" si="10"/>
        <v>6673</v>
      </c>
      <c r="U122" s="81"/>
      <c r="V122" s="81"/>
      <c r="W122" s="81"/>
      <c r="X122" s="81"/>
      <c r="Y122" s="81"/>
      <c r="Z122" s="81"/>
      <c r="AA122" s="81">
        <v>5853</v>
      </c>
      <c r="AB122" s="80">
        <v>6529</v>
      </c>
      <c r="AC122" s="80" t="s">
        <v>222</v>
      </c>
      <c r="AD122" s="80">
        <f>Q122/100*75</f>
        <v>5004.75</v>
      </c>
      <c r="AE122" s="86">
        <v>144</v>
      </c>
      <c r="AF122" s="80" t="s">
        <v>222</v>
      </c>
      <c r="AG122" s="81" t="s">
        <v>221</v>
      </c>
      <c r="AH122" s="86">
        <v>12</v>
      </c>
      <c r="AI122" s="86">
        <v>300</v>
      </c>
      <c r="AJ122" s="80" t="s">
        <v>223</v>
      </c>
      <c r="AK122" s="80">
        <v>11</v>
      </c>
      <c r="AL122" s="86">
        <v>545</v>
      </c>
      <c r="AM122" s="86">
        <v>5</v>
      </c>
      <c r="AN122" s="80" t="s">
        <v>223</v>
      </c>
      <c r="AO122" s="74">
        <v>49</v>
      </c>
      <c r="AP122" s="86">
        <v>1408</v>
      </c>
      <c r="AQ122" s="80" t="s">
        <v>223</v>
      </c>
      <c r="AR122" s="74">
        <v>1</v>
      </c>
      <c r="AS122" s="86">
        <v>217</v>
      </c>
      <c r="AT122" s="80" t="s">
        <v>223</v>
      </c>
      <c r="AU122" s="80" t="s">
        <v>6</v>
      </c>
      <c r="AV122" s="80" t="s">
        <v>6</v>
      </c>
      <c r="AW122" s="86">
        <v>75407</v>
      </c>
      <c r="AX122" s="80" t="s">
        <v>6</v>
      </c>
      <c r="AY122" s="88">
        <v>6815</v>
      </c>
      <c r="AZ122" s="74" t="s">
        <v>6</v>
      </c>
      <c r="BA122" s="92">
        <v>5</v>
      </c>
      <c r="BB122" s="92" t="s">
        <v>644</v>
      </c>
      <c r="BC122" s="71" t="s">
        <v>221</v>
      </c>
      <c r="BD122" s="74">
        <v>56</v>
      </c>
      <c r="BE122" s="74"/>
      <c r="BF122" s="74">
        <v>22</v>
      </c>
      <c r="BG122" s="111">
        <v>4460</v>
      </c>
      <c r="BH122" s="74" t="s">
        <v>223</v>
      </c>
      <c r="BI122" s="96">
        <f t="shared" si="11"/>
        <v>31857.142857142855</v>
      </c>
      <c r="BJ122" s="111"/>
      <c r="BK122" s="111">
        <v>840.5</v>
      </c>
      <c r="BL122" s="74">
        <v>16</v>
      </c>
      <c r="BM122" s="74">
        <v>13</v>
      </c>
      <c r="BN122" s="74" t="s">
        <v>222</v>
      </c>
      <c r="BO122" s="74">
        <v>19</v>
      </c>
      <c r="BP122" s="74">
        <v>15</v>
      </c>
      <c r="BQ122" s="104" t="s">
        <v>467</v>
      </c>
      <c r="BR122" s="104" t="s">
        <v>468</v>
      </c>
      <c r="BS122" s="71">
        <f>AD122/100*(47)*12.86</f>
        <v>30249.70995</v>
      </c>
      <c r="BT122" s="71">
        <f>AD122/100*(53)*25.73</f>
        <v>68249.275274999993</v>
      </c>
      <c r="BU122" s="71">
        <v>956158.51624999999</v>
      </c>
      <c r="BV122" s="96">
        <f t="shared" si="5"/>
        <v>1054657.5014750001</v>
      </c>
      <c r="BW122" s="101">
        <f>BM122*(1-0.25)*(1-0.21)*(1-0.25)*1.2</f>
        <v>6.9322500000000007</v>
      </c>
      <c r="BX122" s="101">
        <f>SUBTOTAL(9,BM122,BW122)</f>
        <v>19.93225</v>
      </c>
    </row>
    <row r="123" spans="1:76" customFormat="1" ht="150" x14ac:dyDescent="0.25">
      <c r="A123" s="118" t="s">
        <v>212</v>
      </c>
      <c r="B123" s="5"/>
      <c r="C123" s="8" t="s">
        <v>105</v>
      </c>
      <c r="D123" s="8" t="s">
        <v>5</v>
      </c>
      <c r="E123" s="8" t="s">
        <v>109</v>
      </c>
      <c r="F123" s="8"/>
      <c r="G123" s="77" t="s">
        <v>6</v>
      </c>
      <c r="H123" s="77"/>
      <c r="I123" s="74" t="s">
        <v>7</v>
      </c>
      <c r="J123" s="72" t="s">
        <v>7</v>
      </c>
      <c r="K123" s="72" t="s">
        <v>526</v>
      </c>
      <c r="L123" s="85" t="s">
        <v>600</v>
      </c>
      <c r="M123" s="112">
        <v>200</v>
      </c>
      <c r="N123" s="74" t="s">
        <v>6</v>
      </c>
      <c r="O123" s="74" t="s">
        <v>221</v>
      </c>
      <c r="P123" s="74" t="s">
        <v>221</v>
      </c>
      <c r="Q123" s="112">
        <v>400</v>
      </c>
      <c r="R123" s="74" t="s">
        <v>223</v>
      </c>
      <c r="S123" s="79"/>
      <c r="T123" s="72">
        <f t="shared" si="10"/>
        <v>400</v>
      </c>
      <c r="U123" s="85"/>
      <c r="V123" s="85"/>
      <c r="W123" s="85"/>
      <c r="X123" s="85"/>
      <c r="Y123" s="85"/>
      <c r="Z123" s="85"/>
      <c r="AA123" s="85"/>
      <c r="AB123" s="72">
        <v>300</v>
      </c>
      <c r="AC123" s="72" t="s">
        <v>223</v>
      </c>
      <c r="AD123" s="72">
        <f>Q123/100*75</f>
        <v>300</v>
      </c>
      <c r="AE123" s="87">
        <v>100</v>
      </c>
      <c r="AF123" s="72" t="s">
        <v>223</v>
      </c>
      <c r="AG123" s="85" t="s">
        <v>413</v>
      </c>
      <c r="AH123" s="87">
        <v>0</v>
      </c>
      <c r="AI123" s="87">
        <v>0</v>
      </c>
      <c r="AJ123" s="72" t="s">
        <v>222</v>
      </c>
      <c r="AK123" s="72">
        <v>1</v>
      </c>
      <c r="AL123" s="87">
        <v>35</v>
      </c>
      <c r="AM123" s="87">
        <v>1</v>
      </c>
      <c r="AN123" s="72" t="s">
        <v>222</v>
      </c>
      <c r="AO123" s="74">
        <v>5</v>
      </c>
      <c r="AP123" s="87">
        <v>200</v>
      </c>
      <c r="AQ123" s="72" t="s">
        <v>223</v>
      </c>
      <c r="AR123" s="74">
        <v>10</v>
      </c>
      <c r="AS123" s="87">
        <v>380</v>
      </c>
      <c r="AT123" s="72" t="s">
        <v>223</v>
      </c>
      <c r="AU123" s="72" t="s">
        <v>221</v>
      </c>
      <c r="AV123" s="72" t="s">
        <v>221</v>
      </c>
      <c r="AW123" s="87" t="s">
        <v>414</v>
      </c>
      <c r="AX123" s="72" t="s">
        <v>6</v>
      </c>
      <c r="AY123" s="99" t="s">
        <v>415</v>
      </c>
      <c r="AZ123" s="74" t="s">
        <v>221</v>
      </c>
      <c r="BA123" s="92" t="s">
        <v>266</v>
      </c>
      <c r="BB123" s="92" t="s">
        <v>266</v>
      </c>
      <c r="BC123" s="71" t="s">
        <v>221</v>
      </c>
      <c r="BD123" s="74">
        <v>50</v>
      </c>
      <c r="BE123" s="74"/>
      <c r="BF123" s="74"/>
      <c r="BG123" s="111">
        <v>1050</v>
      </c>
      <c r="BH123" s="74" t="s">
        <v>223</v>
      </c>
      <c r="BI123" s="96">
        <f t="shared" si="11"/>
        <v>7500</v>
      </c>
      <c r="BJ123" s="111"/>
      <c r="BK123" s="111"/>
      <c r="BL123" s="74">
        <v>0</v>
      </c>
      <c r="BM123" s="74">
        <v>0</v>
      </c>
      <c r="BN123" s="74" t="s">
        <v>222</v>
      </c>
      <c r="BO123" s="72"/>
      <c r="BP123" s="72"/>
      <c r="BQ123" s="104" t="s">
        <v>416</v>
      </c>
      <c r="BR123" s="104" t="s">
        <v>417</v>
      </c>
      <c r="BS123" s="71">
        <f>AD123/100*(47)*11.29</f>
        <v>1591.8899999999999</v>
      </c>
      <c r="BT123" s="71">
        <f>AD123/100*(53)*22.59</f>
        <v>3591.81</v>
      </c>
      <c r="BU123" s="71">
        <v>10908.47625</v>
      </c>
      <c r="BV123" s="96">
        <f t="shared" si="5"/>
        <v>16092.17625</v>
      </c>
      <c r="BW123" s="101">
        <f>BM123*(1-0.25)*(1-0.21)*(1-0.25)*1.2</f>
        <v>0</v>
      </c>
      <c r="BX123" s="101">
        <f>SUBTOTAL(9,BM123,BW123)</f>
        <v>0</v>
      </c>
    </row>
    <row r="124" spans="1:76" customFormat="1" ht="120" x14ac:dyDescent="0.25">
      <c r="A124" s="117" t="s">
        <v>220</v>
      </c>
      <c r="B124" s="72"/>
      <c r="C124" s="8" t="s">
        <v>105</v>
      </c>
      <c r="D124" s="8" t="s">
        <v>5</v>
      </c>
      <c r="E124" s="72" t="s">
        <v>11</v>
      </c>
      <c r="F124" s="72"/>
      <c r="G124" s="72" t="s">
        <v>214</v>
      </c>
      <c r="H124" s="72"/>
      <c r="I124" s="74" t="s">
        <v>7</v>
      </c>
      <c r="J124" s="72" t="s">
        <v>7</v>
      </c>
      <c r="K124" s="72" t="s">
        <v>526</v>
      </c>
      <c r="L124" s="85" t="s">
        <v>600</v>
      </c>
      <c r="M124" s="112">
        <v>1066</v>
      </c>
      <c r="N124" s="74" t="s">
        <v>6</v>
      </c>
      <c r="O124" s="74" t="s">
        <v>221</v>
      </c>
      <c r="P124" s="74" t="s">
        <v>6</v>
      </c>
      <c r="Q124" s="112">
        <v>1357</v>
      </c>
      <c r="R124" s="74" t="s">
        <v>222</v>
      </c>
      <c r="S124" s="79"/>
      <c r="T124" s="72">
        <f t="shared" si="10"/>
        <v>1357</v>
      </c>
      <c r="U124" s="85"/>
      <c r="V124" s="85"/>
      <c r="W124" s="85"/>
      <c r="X124" s="85"/>
      <c r="Y124" s="85"/>
      <c r="Z124" s="85"/>
      <c r="AA124" s="85"/>
      <c r="AB124" s="72">
        <v>1224</v>
      </c>
      <c r="AC124" s="72" t="s">
        <v>222</v>
      </c>
      <c r="AD124" s="72">
        <f>Q124/100*75</f>
        <v>1017.75</v>
      </c>
      <c r="AE124" s="87">
        <v>133</v>
      </c>
      <c r="AF124" s="72" t="s">
        <v>222</v>
      </c>
      <c r="AG124" s="85" t="s">
        <v>75</v>
      </c>
      <c r="AH124" s="87">
        <v>2</v>
      </c>
      <c r="AI124" s="87">
        <v>35</v>
      </c>
      <c r="AJ124" s="72" t="s">
        <v>222</v>
      </c>
      <c r="AK124" s="72">
        <v>0</v>
      </c>
      <c r="AL124" s="87">
        <v>0</v>
      </c>
      <c r="AM124" s="87">
        <v>2</v>
      </c>
      <c r="AN124" s="72" t="s">
        <v>222</v>
      </c>
      <c r="AO124" s="74">
        <v>0</v>
      </c>
      <c r="AP124" s="87">
        <v>0</v>
      </c>
      <c r="AQ124" s="72" t="s">
        <v>222</v>
      </c>
      <c r="AR124" s="74">
        <v>0</v>
      </c>
      <c r="AS124" s="87">
        <v>0</v>
      </c>
      <c r="AT124" s="72" t="s">
        <v>222</v>
      </c>
      <c r="AU124" s="72" t="s">
        <v>6</v>
      </c>
      <c r="AV124" s="72" t="s">
        <v>6</v>
      </c>
      <c r="AW124" s="87" t="s">
        <v>372</v>
      </c>
      <c r="AX124" s="72" t="s">
        <v>6</v>
      </c>
      <c r="AY124" s="99" t="s">
        <v>418</v>
      </c>
      <c r="AZ124" s="74" t="s">
        <v>221</v>
      </c>
      <c r="BA124" s="92" t="s">
        <v>266</v>
      </c>
      <c r="BB124" s="92" t="s">
        <v>266</v>
      </c>
      <c r="BC124" s="71" t="s">
        <v>221</v>
      </c>
      <c r="BD124" s="74">
        <v>29</v>
      </c>
      <c r="BE124" s="74"/>
      <c r="BF124" s="74"/>
      <c r="BG124" s="111">
        <v>1892</v>
      </c>
      <c r="BH124" s="74" t="s">
        <v>222</v>
      </c>
      <c r="BI124" s="96">
        <f t="shared" si="11"/>
        <v>13514.285714285714</v>
      </c>
      <c r="BJ124" s="111"/>
      <c r="BK124" s="111"/>
      <c r="BL124" s="74">
        <v>1</v>
      </c>
      <c r="BM124" s="74">
        <v>0.14000000000000001</v>
      </c>
      <c r="BN124" s="74" t="s">
        <v>222</v>
      </c>
      <c r="BO124" s="72"/>
      <c r="BP124" s="72"/>
      <c r="BQ124" s="104" t="s">
        <v>421</v>
      </c>
      <c r="BR124" s="104" t="s">
        <v>422</v>
      </c>
      <c r="BS124" s="71">
        <f>AD124/100*(47)*8.9</f>
        <v>4257.2482500000006</v>
      </c>
      <c r="BT124" s="71">
        <f>AD124/100*(53)*17.79</f>
        <v>9596.0594249999995</v>
      </c>
      <c r="BU124" s="71">
        <v>9819.0105999999978</v>
      </c>
      <c r="BV124" s="96">
        <f t="shared" si="5"/>
        <v>23672.318274999998</v>
      </c>
      <c r="BW124" s="101">
        <f>BM124*(1-0.25)*(1-0.21)*(1-0.25)*1.2</f>
        <v>7.4654999999999999E-2</v>
      </c>
      <c r="BX124" s="101">
        <f>SUBTOTAL(9,BM124,BW124)</f>
        <v>0.21465500000000001</v>
      </c>
    </row>
    <row r="125" spans="1:76" customFormat="1" ht="75" x14ac:dyDescent="0.25">
      <c r="A125" s="110" t="s">
        <v>169</v>
      </c>
      <c r="B125" s="5">
        <v>2207</v>
      </c>
      <c r="C125" s="8" t="s">
        <v>4</v>
      </c>
      <c r="D125" s="8" t="s">
        <v>5</v>
      </c>
      <c r="E125" s="76" t="s">
        <v>137</v>
      </c>
      <c r="F125" s="94"/>
      <c r="G125" s="77" t="s">
        <v>6</v>
      </c>
      <c r="H125" s="77" t="s">
        <v>6</v>
      </c>
      <c r="I125" s="8" t="s">
        <v>7</v>
      </c>
      <c r="J125" s="74" t="s">
        <v>7</v>
      </c>
      <c r="K125" s="74" t="s">
        <v>527</v>
      </c>
      <c r="L125" s="90" t="s">
        <v>600</v>
      </c>
      <c r="M125" s="81" t="s">
        <v>75</v>
      </c>
      <c r="N125" s="74" t="s">
        <v>6</v>
      </c>
      <c r="O125" s="74" t="s">
        <v>221</v>
      </c>
      <c r="P125" s="74" t="s">
        <v>221</v>
      </c>
      <c r="Q125" s="81">
        <v>47037</v>
      </c>
      <c r="R125" s="74" t="s">
        <v>222</v>
      </c>
      <c r="S125" s="79">
        <f>(Q125-AA125)/Q125</f>
        <v>-4.8281140378850694E-2</v>
      </c>
      <c r="T125" s="80">
        <f t="shared" si="10"/>
        <v>47037</v>
      </c>
      <c r="U125" s="81">
        <v>39263</v>
      </c>
      <c r="V125" s="81">
        <v>41766</v>
      </c>
      <c r="W125" s="81">
        <v>36686</v>
      </c>
      <c r="X125" s="81">
        <v>38335</v>
      </c>
      <c r="Y125" s="81">
        <v>35138</v>
      </c>
      <c r="Z125" s="81">
        <v>35300</v>
      </c>
      <c r="AA125" s="81">
        <v>49308</v>
      </c>
      <c r="AB125" s="80">
        <v>38152</v>
      </c>
      <c r="AC125" s="80" t="s">
        <v>222</v>
      </c>
      <c r="AD125" s="80">
        <f>Q125/100*69</f>
        <v>32455.53</v>
      </c>
      <c r="AE125" s="86">
        <v>8885</v>
      </c>
      <c r="AF125" s="80" t="s">
        <v>222</v>
      </c>
      <c r="AG125" s="81" t="s">
        <v>295</v>
      </c>
      <c r="AH125" s="86">
        <v>75</v>
      </c>
      <c r="AI125" s="86">
        <v>2892</v>
      </c>
      <c r="AJ125" s="80" t="s">
        <v>222</v>
      </c>
      <c r="AK125" s="80">
        <v>0</v>
      </c>
      <c r="AL125" s="86">
        <v>0</v>
      </c>
      <c r="AM125" s="86">
        <v>74</v>
      </c>
      <c r="AN125" s="80" t="s">
        <v>222</v>
      </c>
      <c r="AO125" s="74" t="s">
        <v>75</v>
      </c>
      <c r="AP125" s="86" t="s">
        <v>75</v>
      </c>
      <c r="AQ125" s="80" t="s">
        <v>75</v>
      </c>
      <c r="AR125" s="74" t="s">
        <v>75</v>
      </c>
      <c r="AS125" s="86" t="s">
        <v>75</v>
      </c>
      <c r="AT125" s="80" t="s">
        <v>75</v>
      </c>
      <c r="AU125" s="80" t="s">
        <v>6</v>
      </c>
      <c r="AV125" s="80" t="s">
        <v>221</v>
      </c>
      <c r="AW125" s="86" t="s">
        <v>75</v>
      </c>
      <c r="AX125" s="80" t="s">
        <v>6</v>
      </c>
      <c r="AY125" s="88">
        <v>582</v>
      </c>
      <c r="AZ125" s="74" t="s">
        <v>221</v>
      </c>
      <c r="BA125" s="92" t="s">
        <v>266</v>
      </c>
      <c r="BB125" s="92" t="s">
        <v>266</v>
      </c>
      <c r="BC125" s="71" t="s">
        <v>221</v>
      </c>
      <c r="BD125" s="74">
        <v>37</v>
      </c>
      <c r="BE125" s="74"/>
      <c r="BF125" s="74">
        <v>42</v>
      </c>
      <c r="BG125" s="111">
        <v>7488</v>
      </c>
      <c r="BH125" s="74" t="s">
        <v>223</v>
      </c>
      <c r="BI125" s="96">
        <f t="shared" si="11"/>
        <v>53485.71428571429</v>
      </c>
      <c r="BJ125" s="111"/>
      <c r="BK125" s="111">
        <v>5508</v>
      </c>
      <c r="BL125" s="74">
        <v>1</v>
      </c>
      <c r="BM125" s="74">
        <v>1</v>
      </c>
      <c r="BN125" s="74" t="s">
        <v>222</v>
      </c>
      <c r="BO125" s="74">
        <v>1</v>
      </c>
      <c r="BP125" s="74">
        <v>1</v>
      </c>
      <c r="BQ125" s="104" t="s">
        <v>423</v>
      </c>
      <c r="BR125" s="104" t="s">
        <v>75</v>
      </c>
      <c r="BS125" s="71">
        <f>AD125/100*(44)*14.08</f>
        <v>201068.49945599999</v>
      </c>
      <c r="BT125" s="71">
        <f>AD125/100*(56)*28.16</f>
        <v>511810.72588799999</v>
      </c>
      <c r="BU125" s="71"/>
      <c r="BV125" s="96">
        <f t="shared" si="5"/>
        <v>712879.22534399992</v>
      </c>
      <c r="BW125" s="101">
        <f>BM125*(1-0.25)*(1-0.26)*(1-0.25)*1.2</f>
        <v>0.49949999999999994</v>
      </c>
      <c r="BX125" s="101">
        <f>SUBTOTAL(9,BM125,BW125)</f>
        <v>1.4994999999999998</v>
      </c>
    </row>
    <row r="126" spans="1:76" customFormat="1" ht="45" customHeight="1" x14ac:dyDescent="0.25">
      <c r="A126" s="18" t="s">
        <v>160</v>
      </c>
      <c r="B126" s="5">
        <v>1657</v>
      </c>
      <c r="C126" s="8" t="s">
        <v>30</v>
      </c>
      <c r="D126" s="8" t="s">
        <v>5</v>
      </c>
      <c r="E126" s="76" t="s">
        <v>137</v>
      </c>
      <c r="F126" s="94"/>
      <c r="G126" s="77"/>
      <c r="H126" s="77"/>
      <c r="I126" s="8" t="s">
        <v>94</v>
      </c>
      <c r="J126" s="74"/>
      <c r="K126" s="74"/>
      <c r="L126" s="90"/>
      <c r="M126" s="81"/>
      <c r="N126" s="74"/>
      <c r="O126" s="74"/>
      <c r="P126" s="74"/>
      <c r="Q126" s="81"/>
      <c r="R126" s="72"/>
      <c r="S126" s="79"/>
      <c r="T126" s="80"/>
      <c r="U126" s="81"/>
      <c r="V126" s="81"/>
      <c r="W126" s="81"/>
      <c r="X126" s="81"/>
      <c r="Y126" s="81"/>
      <c r="Z126" s="81"/>
      <c r="AA126" s="81"/>
      <c r="AB126" s="80"/>
      <c r="AC126" s="80"/>
      <c r="AD126" s="80"/>
      <c r="AE126" s="86"/>
      <c r="AF126" s="80"/>
      <c r="AG126" s="81"/>
      <c r="AH126" s="86"/>
      <c r="AI126" s="86"/>
      <c r="AJ126" s="80"/>
      <c r="AK126" s="80"/>
      <c r="AL126" s="86"/>
      <c r="AM126" s="86"/>
      <c r="AN126" s="80"/>
      <c r="AO126" s="74"/>
      <c r="AP126" s="86"/>
      <c r="AQ126" s="80"/>
      <c r="AR126" s="74"/>
      <c r="AS126" s="86"/>
      <c r="AT126" s="80"/>
      <c r="AU126" s="80" t="s">
        <v>6</v>
      </c>
      <c r="AV126" s="80"/>
      <c r="AW126" s="86"/>
      <c r="AX126" s="80"/>
      <c r="AY126" s="88"/>
      <c r="AZ126" s="74" t="s">
        <v>214</v>
      </c>
      <c r="BA126" s="92">
        <v>4.9000000000000004</v>
      </c>
      <c r="BB126" s="92">
        <v>2.9</v>
      </c>
      <c r="BC126" s="71"/>
      <c r="BD126" s="72"/>
      <c r="BE126" s="72"/>
      <c r="BF126" s="72"/>
      <c r="BG126" s="111"/>
      <c r="BH126" s="72"/>
      <c r="BI126" s="96"/>
      <c r="BJ126" s="111"/>
      <c r="BK126" s="111"/>
      <c r="BL126" s="72"/>
      <c r="BM126" s="72"/>
      <c r="BN126" s="72"/>
      <c r="BO126" s="74"/>
      <c r="BP126" s="74"/>
      <c r="BQ126" s="104"/>
      <c r="BR126" s="104"/>
      <c r="BS126" s="71"/>
      <c r="BT126" s="71"/>
      <c r="BU126" s="71"/>
      <c r="BV126" s="96">
        <f t="shared" si="5"/>
        <v>0</v>
      </c>
      <c r="BW126" s="101"/>
      <c r="BX126" s="101"/>
    </row>
    <row r="127" spans="1:76" customFormat="1" ht="30" x14ac:dyDescent="0.25">
      <c r="A127" s="110" t="s">
        <v>47</v>
      </c>
      <c r="B127" s="5">
        <v>1588</v>
      </c>
      <c r="C127" s="8" t="s">
        <v>4</v>
      </c>
      <c r="D127" s="8" t="s">
        <v>5</v>
      </c>
      <c r="E127" s="95" t="s">
        <v>25</v>
      </c>
      <c r="F127" s="78"/>
      <c r="G127" s="77" t="s">
        <v>6</v>
      </c>
      <c r="H127" s="77" t="s">
        <v>6</v>
      </c>
      <c r="I127" s="8" t="s">
        <v>8</v>
      </c>
      <c r="J127" s="74" t="s">
        <v>8</v>
      </c>
      <c r="K127" s="74" t="s">
        <v>529</v>
      </c>
      <c r="L127" s="90" t="s">
        <v>599</v>
      </c>
      <c r="M127" s="81">
        <v>8736</v>
      </c>
      <c r="N127" s="74" t="s">
        <v>221</v>
      </c>
      <c r="O127" s="74" t="s">
        <v>221</v>
      </c>
      <c r="P127" s="74" t="s">
        <v>221</v>
      </c>
      <c r="Q127" s="81">
        <v>120000</v>
      </c>
      <c r="R127" s="74" t="s">
        <v>223</v>
      </c>
      <c r="S127" s="79">
        <f>(Q127-AA127)/Q127</f>
        <v>0.28333333333333333</v>
      </c>
      <c r="T127" s="80">
        <f>AVERAGE(Q127:Q127)</f>
        <v>120000</v>
      </c>
      <c r="U127" s="81">
        <v>81750</v>
      </c>
      <c r="V127" s="81">
        <v>151646</v>
      </c>
      <c r="W127" s="81">
        <v>122116</v>
      </c>
      <c r="X127" s="81">
        <v>120000</v>
      </c>
      <c r="Y127" s="81">
        <v>137000</v>
      </c>
      <c r="Z127" s="81">
        <v>125000</v>
      </c>
      <c r="AA127" s="81">
        <v>86000</v>
      </c>
      <c r="AB127" s="80" t="s">
        <v>75</v>
      </c>
      <c r="AC127" s="80" t="s">
        <v>75</v>
      </c>
      <c r="AD127" s="80">
        <f>Q127/100*68</f>
        <v>81600</v>
      </c>
      <c r="AE127" s="86" t="s">
        <v>75</v>
      </c>
      <c r="AF127" s="80" t="s">
        <v>75</v>
      </c>
      <c r="AG127" s="81" t="s">
        <v>75</v>
      </c>
      <c r="AH127" s="86">
        <v>2</v>
      </c>
      <c r="AI127" s="86">
        <v>20</v>
      </c>
      <c r="AJ127" s="80" t="s">
        <v>223</v>
      </c>
      <c r="AK127" s="80">
        <v>0</v>
      </c>
      <c r="AL127" s="86">
        <v>0</v>
      </c>
      <c r="AM127" s="86">
        <v>0</v>
      </c>
      <c r="AN127" s="80" t="s">
        <v>222</v>
      </c>
      <c r="AO127" s="74">
        <v>2</v>
      </c>
      <c r="AP127" s="86">
        <v>20</v>
      </c>
      <c r="AQ127" s="80" t="s">
        <v>223</v>
      </c>
      <c r="AR127" s="74">
        <v>3</v>
      </c>
      <c r="AS127" s="86">
        <v>60</v>
      </c>
      <c r="AT127" s="80" t="s">
        <v>223</v>
      </c>
      <c r="AU127" s="80" t="s">
        <v>6</v>
      </c>
      <c r="AV127" s="80" t="s">
        <v>221</v>
      </c>
      <c r="AW127" s="86" t="s">
        <v>75</v>
      </c>
      <c r="AX127" s="80" t="s">
        <v>6</v>
      </c>
      <c r="AY127" s="88" t="s">
        <v>469</v>
      </c>
      <c r="AZ127" s="74" t="s">
        <v>6</v>
      </c>
      <c r="BA127" s="92" t="s">
        <v>470</v>
      </c>
      <c r="BB127" s="92" t="s">
        <v>471</v>
      </c>
      <c r="BC127" s="71" t="s">
        <v>221</v>
      </c>
      <c r="BD127" s="74">
        <v>4</v>
      </c>
      <c r="BE127" s="74">
        <v>10</v>
      </c>
      <c r="BF127" s="74">
        <v>6</v>
      </c>
      <c r="BG127" s="111" t="s">
        <v>473</v>
      </c>
      <c r="BH127" s="74" t="s">
        <v>223</v>
      </c>
      <c r="BI127" s="96"/>
      <c r="BJ127" s="111"/>
      <c r="BK127" s="111" t="s">
        <v>619</v>
      </c>
      <c r="BL127" s="74">
        <v>1</v>
      </c>
      <c r="BM127" s="74">
        <v>1</v>
      </c>
      <c r="BN127" s="74" t="s">
        <v>222</v>
      </c>
      <c r="BO127" s="74">
        <v>1</v>
      </c>
      <c r="BP127" s="74">
        <v>1</v>
      </c>
      <c r="BQ127" s="104" t="s">
        <v>474</v>
      </c>
      <c r="BR127" s="104" t="s">
        <v>475</v>
      </c>
      <c r="BS127" s="71">
        <f>AD127/100*(31)*17.99</f>
        <v>455075.04</v>
      </c>
      <c r="BT127" s="71">
        <f>AD127/100*(69)*35.98</f>
        <v>2025817.92</v>
      </c>
      <c r="BU127" s="71"/>
      <c r="BV127" s="96">
        <f t="shared" si="5"/>
        <v>2480892.96</v>
      </c>
      <c r="BW127" s="101">
        <f>BM127*(1-0.25)*(1-0.25)*(1-0.375)*1.2</f>
        <v>0.421875</v>
      </c>
      <c r="BX127" s="101">
        <f>SUBTOTAL(9,BM127,BW127)</f>
        <v>1.421875</v>
      </c>
    </row>
    <row r="128" spans="1:76" customFormat="1" ht="45" customHeight="1" x14ac:dyDescent="0.25">
      <c r="A128" s="18" t="s">
        <v>150</v>
      </c>
      <c r="B128" s="5">
        <v>746</v>
      </c>
      <c r="C128" s="8" t="s">
        <v>4</v>
      </c>
      <c r="D128" s="8" t="s">
        <v>5</v>
      </c>
      <c r="E128" s="95" t="s">
        <v>137</v>
      </c>
      <c r="F128" s="78"/>
      <c r="G128" s="77"/>
      <c r="H128" s="77" t="s">
        <v>151</v>
      </c>
      <c r="I128" s="8" t="s">
        <v>9</v>
      </c>
      <c r="J128" s="74"/>
      <c r="K128" s="74"/>
      <c r="L128" s="90"/>
      <c r="M128" s="81"/>
      <c r="N128" s="74"/>
      <c r="O128" s="74"/>
      <c r="P128" s="74"/>
      <c r="Q128" s="81"/>
      <c r="R128" s="72"/>
      <c r="S128" s="79"/>
      <c r="T128" s="80"/>
      <c r="U128" s="81">
        <v>10936</v>
      </c>
      <c r="V128" s="81">
        <v>18567</v>
      </c>
      <c r="W128" s="81">
        <v>18247</v>
      </c>
      <c r="X128" s="81">
        <v>10437</v>
      </c>
      <c r="Y128" s="81"/>
      <c r="Z128" s="81"/>
      <c r="AA128" s="81"/>
      <c r="AB128" s="80"/>
      <c r="AC128" s="80"/>
      <c r="AD128" s="80"/>
      <c r="AE128" s="86"/>
      <c r="AF128" s="80"/>
      <c r="AG128" s="81"/>
      <c r="AH128" s="86"/>
      <c r="AI128" s="86"/>
      <c r="AJ128" s="80"/>
      <c r="AK128" s="80"/>
      <c r="AL128" s="86"/>
      <c r="AM128" s="86"/>
      <c r="AN128" s="80"/>
      <c r="AO128" s="74"/>
      <c r="AP128" s="86"/>
      <c r="AQ128" s="80"/>
      <c r="AR128" s="74"/>
      <c r="AS128" s="86"/>
      <c r="AT128" s="80"/>
      <c r="AU128" s="80" t="s">
        <v>6</v>
      </c>
      <c r="AV128" s="80"/>
      <c r="AW128" s="86"/>
      <c r="AX128" s="80"/>
      <c r="AY128" s="88"/>
      <c r="AZ128" s="74" t="s">
        <v>214</v>
      </c>
      <c r="BA128" s="92">
        <v>9.15</v>
      </c>
      <c r="BB128" s="92">
        <v>7.3</v>
      </c>
      <c r="BC128" s="71"/>
      <c r="BD128" s="72"/>
      <c r="BE128" s="72"/>
      <c r="BF128" s="72"/>
      <c r="BG128" s="111"/>
      <c r="BH128" s="72"/>
      <c r="BI128" s="96"/>
      <c r="BJ128" s="111"/>
      <c r="BK128" s="111"/>
      <c r="BL128" s="72"/>
      <c r="BM128" s="72"/>
      <c r="BN128" s="72"/>
      <c r="BO128" s="74"/>
      <c r="BP128" s="74"/>
      <c r="BQ128" s="104"/>
      <c r="BR128" s="104"/>
      <c r="BS128" s="71"/>
      <c r="BT128" s="71"/>
      <c r="BU128" s="71"/>
      <c r="BV128" s="96">
        <f t="shared" si="5"/>
        <v>0</v>
      </c>
      <c r="BW128" s="101"/>
      <c r="BX128" s="101"/>
    </row>
    <row r="129" spans="1:82" customFormat="1" ht="75" customHeight="1" x14ac:dyDescent="0.25">
      <c r="A129" s="110" t="s">
        <v>116</v>
      </c>
      <c r="B129" s="5">
        <v>582</v>
      </c>
      <c r="C129" s="8" t="s">
        <v>4</v>
      </c>
      <c r="D129" s="8" t="s">
        <v>5</v>
      </c>
      <c r="E129" s="8" t="s">
        <v>109</v>
      </c>
      <c r="F129" s="8"/>
      <c r="G129" s="77" t="s">
        <v>6</v>
      </c>
      <c r="H129" s="77" t="s">
        <v>6</v>
      </c>
      <c r="I129" s="8" t="s">
        <v>9</v>
      </c>
      <c r="J129" s="74" t="s">
        <v>9</v>
      </c>
      <c r="K129" s="74" t="s">
        <v>526</v>
      </c>
      <c r="L129" s="90" t="s">
        <v>599</v>
      </c>
      <c r="M129" s="81">
        <v>1200</v>
      </c>
      <c r="N129" s="74" t="s">
        <v>6</v>
      </c>
      <c r="O129" s="74" t="s">
        <v>221</v>
      </c>
      <c r="P129" s="74" t="s">
        <v>221</v>
      </c>
      <c r="Q129" s="81">
        <v>6114</v>
      </c>
      <c r="R129" s="74" t="s">
        <v>222</v>
      </c>
      <c r="S129" s="79">
        <f>(Q129-AA129)/Q129</f>
        <v>-0.22701995420346746</v>
      </c>
      <c r="T129" s="80">
        <f>AVERAGE(Q129:Q129)</f>
        <v>6114</v>
      </c>
      <c r="U129" s="81">
        <v>4780</v>
      </c>
      <c r="V129" s="81">
        <v>4439</v>
      </c>
      <c r="W129" s="81">
        <v>4585</v>
      </c>
      <c r="X129" s="81">
        <v>5011</v>
      </c>
      <c r="Y129" s="81">
        <v>4120</v>
      </c>
      <c r="Z129" s="81">
        <v>5602</v>
      </c>
      <c r="AA129" s="81">
        <v>7502</v>
      </c>
      <c r="AB129" s="80">
        <v>3500</v>
      </c>
      <c r="AC129" s="80" t="s">
        <v>223</v>
      </c>
      <c r="AD129" s="80">
        <f>Q129/100*75</f>
        <v>4585.5</v>
      </c>
      <c r="AE129" s="86">
        <v>2614</v>
      </c>
      <c r="AF129" s="80" t="s">
        <v>223</v>
      </c>
      <c r="AG129" s="81" t="s">
        <v>424</v>
      </c>
      <c r="AH129" s="86">
        <v>5</v>
      </c>
      <c r="AI129" s="86">
        <v>175</v>
      </c>
      <c r="AJ129" s="80" t="s">
        <v>223</v>
      </c>
      <c r="AK129" s="80">
        <v>15</v>
      </c>
      <c r="AL129" s="86">
        <v>525</v>
      </c>
      <c r="AM129" s="86">
        <v>10</v>
      </c>
      <c r="AN129" s="80" t="s">
        <v>223</v>
      </c>
      <c r="AO129" s="74">
        <v>140</v>
      </c>
      <c r="AP129" s="86">
        <v>4900</v>
      </c>
      <c r="AQ129" s="80" t="s">
        <v>223</v>
      </c>
      <c r="AR129" s="74">
        <v>10</v>
      </c>
      <c r="AS129" s="86">
        <v>350</v>
      </c>
      <c r="AT129" s="80" t="s">
        <v>223</v>
      </c>
      <c r="AU129" s="80" t="s">
        <v>6</v>
      </c>
      <c r="AV129" s="80" t="s">
        <v>6</v>
      </c>
      <c r="AW129" s="86" t="s">
        <v>281</v>
      </c>
      <c r="AX129" s="80" t="s">
        <v>6</v>
      </c>
      <c r="AY129" s="88" t="s">
        <v>425</v>
      </c>
      <c r="AZ129" s="74" t="s">
        <v>221</v>
      </c>
      <c r="BA129" s="92" t="s">
        <v>266</v>
      </c>
      <c r="BB129" s="92" t="s">
        <v>266</v>
      </c>
      <c r="BC129" s="71" t="s">
        <v>221</v>
      </c>
      <c r="BD129" s="74">
        <v>35</v>
      </c>
      <c r="BE129" s="74">
        <v>34</v>
      </c>
      <c r="BF129" s="74">
        <v>45</v>
      </c>
      <c r="BG129" s="111">
        <v>735</v>
      </c>
      <c r="BH129" s="74" t="s">
        <v>223</v>
      </c>
      <c r="BI129" s="96">
        <f>BG129/7*50</f>
        <v>5250</v>
      </c>
      <c r="BJ129" s="111">
        <v>4000</v>
      </c>
      <c r="BK129" s="111">
        <v>4080</v>
      </c>
      <c r="BL129" s="74">
        <v>3</v>
      </c>
      <c r="BM129" s="74">
        <v>1.7</v>
      </c>
      <c r="BN129" s="74" t="s">
        <v>222</v>
      </c>
      <c r="BO129" s="74">
        <v>3</v>
      </c>
      <c r="BP129" s="74">
        <v>1.7</v>
      </c>
      <c r="BQ129" s="104" t="s">
        <v>426</v>
      </c>
      <c r="BR129" s="104" t="s">
        <v>75</v>
      </c>
      <c r="BS129" s="71">
        <f>AD129/100*(47)*11.29</f>
        <v>24332.038649999999</v>
      </c>
      <c r="BT129" s="71">
        <f>AD129/100*(53)*22.59</f>
        <v>54900.815849999999</v>
      </c>
      <c r="BU129" s="71">
        <v>42563.526249999995</v>
      </c>
      <c r="BV129" s="96">
        <f t="shared" si="5"/>
        <v>121796.38075</v>
      </c>
      <c r="BW129" s="101">
        <f>BM129*(1-0.25)*(1-0.21)*(1-0.25)*1.2</f>
        <v>0.90652499999999991</v>
      </c>
      <c r="BX129" s="101">
        <f>SUBTOTAL(9,BM129,BW129)</f>
        <v>2.606525</v>
      </c>
    </row>
    <row r="130" spans="1:82" customFormat="1" ht="45" customHeight="1" x14ac:dyDescent="0.25">
      <c r="A130" s="113" t="s">
        <v>81</v>
      </c>
      <c r="B130" s="5">
        <v>664</v>
      </c>
      <c r="C130" s="8" t="s">
        <v>4</v>
      </c>
      <c r="D130" s="8" t="s">
        <v>5</v>
      </c>
      <c r="E130" s="8" t="s">
        <v>68</v>
      </c>
      <c r="F130" s="8"/>
      <c r="G130" s="77" t="s">
        <v>214</v>
      </c>
      <c r="H130" s="77" t="s">
        <v>6</v>
      </c>
      <c r="I130" s="8" t="s">
        <v>9</v>
      </c>
      <c r="J130" s="74" t="s">
        <v>9</v>
      </c>
      <c r="K130" s="74" t="s">
        <v>527</v>
      </c>
      <c r="L130" s="90" t="s">
        <v>599</v>
      </c>
      <c r="M130" s="81">
        <v>1.92</v>
      </c>
      <c r="N130" s="74" t="s">
        <v>6</v>
      </c>
      <c r="O130" s="74" t="s">
        <v>221</v>
      </c>
      <c r="P130" s="74" t="s">
        <v>221</v>
      </c>
      <c r="Q130" s="81">
        <v>11662</v>
      </c>
      <c r="R130" s="74" t="s">
        <v>222</v>
      </c>
      <c r="S130" s="79">
        <f>(Q130-AA130)/Q130</f>
        <v>-0.38278168410221231</v>
      </c>
      <c r="T130" s="80">
        <f>AVERAGE(Q130:Q130)</f>
        <v>11662</v>
      </c>
      <c r="U130" s="81">
        <v>16188</v>
      </c>
      <c r="V130" s="81">
        <v>14255</v>
      </c>
      <c r="W130" s="81">
        <v>17978</v>
      </c>
      <c r="X130" s="81">
        <v>14428</v>
      </c>
      <c r="Y130" s="81">
        <v>16479</v>
      </c>
      <c r="Z130" s="81">
        <v>17634</v>
      </c>
      <c r="AA130" s="81">
        <v>16126</v>
      </c>
      <c r="AB130" s="80">
        <v>7500</v>
      </c>
      <c r="AC130" s="80" t="s">
        <v>223</v>
      </c>
      <c r="AD130" s="80">
        <f>Q130/100*69</f>
        <v>8046.7800000000007</v>
      </c>
      <c r="AE130" s="86">
        <v>4000</v>
      </c>
      <c r="AF130" s="80" t="s">
        <v>223</v>
      </c>
      <c r="AG130" s="81" t="s">
        <v>427</v>
      </c>
      <c r="AH130" s="86">
        <v>0</v>
      </c>
      <c r="AI130" s="86">
        <v>0</v>
      </c>
      <c r="AJ130" s="80" t="s">
        <v>222</v>
      </c>
      <c r="AK130" s="80">
        <v>22</v>
      </c>
      <c r="AL130" s="86">
        <v>963</v>
      </c>
      <c r="AM130" s="86">
        <v>10</v>
      </c>
      <c r="AN130" s="80" t="s">
        <v>223</v>
      </c>
      <c r="AO130" s="74">
        <v>37</v>
      </c>
      <c r="AP130" s="86">
        <v>2670</v>
      </c>
      <c r="AQ130" s="80" t="s">
        <v>222</v>
      </c>
      <c r="AR130" s="74">
        <v>85</v>
      </c>
      <c r="AS130" s="86">
        <v>632</v>
      </c>
      <c r="AT130" s="80" t="s">
        <v>222</v>
      </c>
      <c r="AU130" s="80" t="s">
        <v>6</v>
      </c>
      <c r="AV130" s="80" t="s">
        <v>6</v>
      </c>
      <c r="AW130" s="86">
        <v>27791</v>
      </c>
      <c r="AX130" s="80" t="s">
        <v>6</v>
      </c>
      <c r="AY130" s="88" t="s">
        <v>428</v>
      </c>
      <c r="AZ130" s="74" t="s">
        <v>6</v>
      </c>
      <c r="BA130" s="92">
        <v>2.5</v>
      </c>
      <c r="BB130" s="92" t="s">
        <v>644</v>
      </c>
      <c r="BC130" s="71" t="s">
        <v>221</v>
      </c>
      <c r="BD130" s="74">
        <v>60</v>
      </c>
      <c r="BE130" s="74">
        <v>36</v>
      </c>
      <c r="BF130" s="74">
        <v>60</v>
      </c>
      <c r="BG130" s="111">
        <v>2500</v>
      </c>
      <c r="BH130" s="74" t="s">
        <v>223</v>
      </c>
      <c r="BI130" s="96">
        <f>BG130/7*50</f>
        <v>17857.142857142859</v>
      </c>
      <c r="BJ130" s="111">
        <v>2000</v>
      </c>
      <c r="BK130" s="111">
        <v>4150</v>
      </c>
      <c r="BL130" s="74">
        <v>20</v>
      </c>
      <c r="BM130" s="74">
        <v>4.7300000000000004</v>
      </c>
      <c r="BN130" s="74" t="s">
        <v>222</v>
      </c>
      <c r="BO130" s="74">
        <v>19</v>
      </c>
      <c r="BP130" s="74">
        <v>4.8</v>
      </c>
      <c r="BQ130" s="104" t="s">
        <v>429</v>
      </c>
      <c r="BR130" s="104" t="s">
        <v>430</v>
      </c>
      <c r="BS130" s="71">
        <f>AD130/100*(44)*12.91</f>
        <v>45708.929112000005</v>
      </c>
      <c r="BT130" s="71">
        <f>AD130/100*(56)*25.82</f>
        <v>116350.00137600001</v>
      </c>
      <c r="BU130" s="71">
        <v>55680.125</v>
      </c>
      <c r="BV130" s="96">
        <f t="shared" si="5"/>
        <v>217739.05548800001</v>
      </c>
      <c r="BW130" s="101">
        <f>BM130*(1-0.25)*(1-0.26)*(1-0.25)*1.2</f>
        <v>2.362635</v>
      </c>
      <c r="BX130" s="101">
        <f>SUBTOTAL(9,BM130,BW130)</f>
        <v>7.0926350000000005</v>
      </c>
    </row>
    <row r="131" spans="1:82" customFormat="1" ht="45" customHeight="1" x14ac:dyDescent="0.25">
      <c r="A131" s="18" t="s">
        <v>136</v>
      </c>
      <c r="B131" s="5">
        <v>345</v>
      </c>
      <c r="C131" s="8" t="s">
        <v>4</v>
      </c>
      <c r="D131" s="8" t="s">
        <v>5</v>
      </c>
      <c r="E131" s="8" t="s">
        <v>137</v>
      </c>
      <c r="F131" s="8"/>
      <c r="G131" s="77"/>
      <c r="H131" s="77"/>
      <c r="I131" s="8" t="s">
        <v>27</v>
      </c>
      <c r="J131" s="74"/>
      <c r="K131" s="74"/>
      <c r="L131" s="90"/>
      <c r="M131" s="81"/>
      <c r="N131" s="74"/>
      <c r="O131" s="74"/>
      <c r="P131" s="74"/>
      <c r="Q131" s="81"/>
      <c r="R131" s="72"/>
      <c r="S131" s="79"/>
      <c r="T131" s="80"/>
      <c r="U131" s="81"/>
      <c r="V131" s="81"/>
      <c r="W131" s="81"/>
      <c r="X131" s="81"/>
      <c r="Y131" s="81"/>
      <c r="Z131" s="81"/>
      <c r="AA131" s="81"/>
      <c r="AB131" s="80"/>
      <c r="AC131" s="80"/>
      <c r="AD131" s="80"/>
      <c r="AE131" s="86"/>
      <c r="AF131" s="80"/>
      <c r="AG131" s="81"/>
      <c r="AH131" s="86"/>
      <c r="AI131" s="86"/>
      <c r="AJ131" s="80"/>
      <c r="AK131" s="80"/>
      <c r="AL131" s="86"/>
      <c r="AM131" s="86"/>
      <c r="AN131" s="80"/>
      <c r="AO131" s="74"/>
      <c r="AP131" s="86"/>
      <c r="AQ131" s="80"/>
      <c r="AR131" s="74"/>
      <c r="AS131" s="86"/>
      <c r="AT131" s="80"/>
      <c r="AU131" s="80" t="s">
        <v>6</v>
      </c>
      <c r="AV131" s="80"/>
      <c r="AW131" s="86"/>
      <c r="AX131" s="80"/>
      <c r="AY131" s="88"/>
      <c r="AZ131" s="74" t="s">
        <v>320</v>
      </c>
      <c r="BA131" s="92"/>
      <c r="BB131" s="92"/>
      <c r="BC131" s="71"/>
      <c r="BD131" s="72"/>
      <c r="BE131" s="72"/>
      <c r="BF131" s="72"/>
      <c r="BG131" s="111"/>
      <c r="BH131" s="72"/>
      <c r="BI131" s="96"/>
      <c r="BJ131" s="111"/>
      <c r="BK131" s="111"/>
      <c r="BL131" s="72"/>
      <c r="BM131" s="72"/>
      <c r="BN131" s="72"/>
      <c r="BO131" s="74"/>
      <c r="BP131" s="74"/>
      <c r="BQ131" s="104"/>
      <c r="BR131" s="104"/>
      <c r="BS131" s="71"/>
      <c r="BT131" s="71"/>
      <c r="BU131" s="71"/>
      <c r="BV131" s="96">
        <f t="shared" si="5"/>
        <v>0</v>
      </c>
      <c r="BW131" s="101"/>
      <c r="BX131" s="101"/>
    </row>
    <row r="132" spans="1:82" customFormat="1" ht="45" customHeight="1" x14ac:dyDescent="0.25">
      <c r="A132" s="119" t="s">
        <v>211</v>
      </c>
      <c r="B132" s="72"/>
      <c r="C132" s="8" t="s">
        <v>105</v>
      </c>
      <c r="D132" s="8" t="s">
        <v>5</v>
      </c>
      <c r="E132" s="72" t="s">
        <v>174</v>
      </c>
      <c r="F132" s="72"/>
      <c r="G132" s="72" t="s">
        <v>6</v>
      </c>
      <c r="H132" s="72" t="s">
        <v>6</v>
      </c>
      <c r="I132" s="72" t="s">
        <v>7</v>
      </c>
      <c r="J132" s="74" t="s">
        <v>7</v>
      </c>
      <c r="K132" s="74" t="s">
        <v>526</v>
      </c>
      <c r="L132" s="90" t="s">
        <v>600</v>
      </c>
      <c r="M132" s="81">
        <v>600</v>
      </c>
      <c r="N132" s="75" t="s">
        <v>6</v>
      </c>
      <c r="O132" s="75" t="s">
        <v>221</v>
      </c>
      <c r="P132" s="75" t="s">
        <v>221</v>
      </c>
      <c r="Q132" s="81">
        <v>2000</v>
      </c>
      <c r="R132" s="74" t="s">
        <v>223</v>
      </c>
      <c r="S132" s="79">
        <f>(Q132-AA132)/Q132</f>
        <v>7.4999999999999997E-3</v>
      </c>
      <c r="T132" s="80">
        <f>AVERAGE(Q132:Q132)</f>
        <v>2000</v>
      </c>
      <c r="U132" s="81"/>
      <c r="V132" s="81"/>
      <c r="W132" s="81"/>
      <c r="X132" s="81"/>
      <c r="Y132" s="81"/>
      <c r="Z132" s="81"/>
      <c r="AA132" s="81">
        <v>1985</v>
      </c>
      <c r="AB132" s="80">
        <v>1750</v>
      </c>
      <c r="AC132" s="80" t="s">
        <v>223</v>
      </c>
      <c r="AD132" s="80">
        <f>Q132/100*75</f>
        <v>1500</v>
      </c>
      <c r="AE132" s="86">
        <v>250</v>
      </c>
      <c r="AF132" s="80" t="s">
        <v>223</v>
      </c>
      <c r="AG132" s="81" t="s">
        <v>431</v>
      </c>
      <c r="AH132" s="86">
        <v>4</v>
      </c>
      <c r="AI132" s="86">
        <v>120</v>
      </c>
      <c r="AJ132" s="80" t="s">
        <v>223</v>
      </c>
      <c r="AK132" s="80">
        <v>1</v>
      </c>
      <c r="AL132" s="86">
        <v>25</v>
      </c>
      <c r="AM132" s="86">
        <v>4</v>
      </c>
      <c r="AN132" s="80" t="s">
        <v>223</v>
      </c>
      <c r="AO132" s="75">
        <v>2</v>
      </c>
      <c r="AP132" s="86">
        <v>25</v>
      </c>
      <c r="AQ132" s="80" t="s">
        <v>223</v>
      </c>
      <c r="AR132" s="75" t="s">
        <v>266</v>
      </c>
      <c r="AS132" s="86" t="s">
        <v>266</v>
      </c>
      <c r="AT132" s="80" t="s">
        <v>75</v>
      </c>
      <c r="AU132" s="80" t="s">
        <v>6</v>
      </c>
      <c r="AV132" s="80" t="s">
        <v>6</v>
      </c>
      <c r="AW132" s="86" t="s">
        <v>432</v>
      </c>
      <c r="AX132" s="80" t="s">
        <v>6</v>
      </c>
      <c r="AY132" s="88" t="s">
        <v>433</v>
      </c>
      <c r="AZ132" s="75" t="s">
        <v>221</v>
      </c>
      <c r="BA132" s="92" t="s">
        <v>266</v>
      </c>
      <c r="BB132" s="92" t="s">
        <v>266</v>
      </c>
      <c r="BC132" s="71" t="s">
        <v>221</v>
      </c>
      <c r="BD132" s="74">
        <v>35</v>
      </c>
      <c r="BE132" s="74"/>
      <c r="BF132" s="74">
        <v>35</v>
      </c>
      <c r="BG132" s="111">
        <v>600</v>
      </c>
      <c r="BH132" s="74" t="s">
        <v>223</v>
      </c>
      <c r="BI132" s="96">
        <f>BG132/7*50</f>
        <v>4285.7142857142853</v>
      </c>
      <c r="BJ132" s="111"/>
      <c r="BK132" s="111">
        <v>1500</v>
      </c>
      <c r="BL132" s="74">
        <v>0</v>
      </c>
      <c r="BM132" s="74">
        <v>0</v>
      </c>
      <c r="BN132" s="74" t="s">
        <v>222</v>
      </c>
      <c r="BO132" s="74">
        <v>0</v>
      </c>
      <c r="BP132" s="74">
        <v>0</v>
      </c>
      <c r="BQ132" s="105" t="s">
        <v>75</v>
      </c>
      <c r="BR132" s="105" t="s">
        <v>75</v>
      </c>
      <c r="BS132" s="71">
        <f>AD132/100*(47)*12.86</f>
        <v>9066.2999999999993</v>
      </c>
      <c r="BT132" s="71">
        <f>AD132/100*(53)*25.73</f>
        <v>20455.349999999999</v>
      </c>
      <c r="BU132" s="71">
        <v>5215</v>
      </c>
      <c r="BV132" s="96">
        <f t="shared" ref="BV132:BV184" si="12">SUM(BS132:BU132)</f>
        <v>34736.649999999994</v>
      </c>
      <c r="BW132" s="102">
        <f>BM132*(1-0.25)*(1-0.21)*(1-0.25)*1.2</f>
        <v>0</v>
      </c>
      <c r="BX132" s="102">
        <f>SUBTOTAL(9,BM132,BW132)</f>
        <v>0</v>
      </c>
    </row>
    <row r="133" spans="1:82" customFormat="1" ht="45" customHeight="1" x14ac:dyDescent="0.25">
      <c r="A133" s="18" t="s">
        <v>195</v>
      </c>
      <c r="B133" s="5">
        <v>1655</v>
      </c>
      <c r="C133" s="8" t="s">
        <v>30</v>
      </c>
      <c r="D133" s="8" t="s">
        <v>5</v>
      </c>
      <c r="E133" s="8" t="s">
        <v>174</v>
      </c>
      <c r="F133" s="8"/>
      <c r="G133" s="77"/>
      <c r="H133" s="77"/>
      <c r="I133" s="8" t="s">
        <v>94</v>
      </c>
      <c r="J133" s="74"/>
      <c r="K133" s="74"/>
      <c r="L133" s="90"/>
      <c r="M133" s="81"/>
      <c r="N133" s="75"/>
      <c r="O133" s="75"/>
      <c r="P133" s="75"/>
      <c r="Q133" s="81"/>
      <c r="R133" s="72"/>
      <c r="S133" s="79"/>
      <c r="T133" s="80"/>
      <c r="U133" s="81"/>
      <c r="V133" s="81"/>
      <c r="W133" s="81"/>
      <c r="X133" s="81"/>
      <c r="Y133" s="81"/>
      <c r="Z133" s="81"/>
      <c r="AA133" s="81"/>
      <c r="AB133" s="80"/>
      <c r="AC133" s="80"/>
      <c r="AD133" s="80"/>
      <c r="AE133" s="86"/>
      <c r="AF133" s="80"/>
      <c r="AG133" s="81"/>
      <c r="AH133" s="86"/>
      <c r="AI133" s="86"/>
      <c r="AJ133" s="80"/>
      <c r="AK133" s="80"/>
      <c r="AL133" s="86"/>
      <c r="AM133" s="86"/>
      <c r="AN133" s="80"/>
      <c r="AO133" s="75"/>
      <c r="AP133" s="86"/>
      <c r="AQ133" s="80"/>
      <c r="AR133" s="75"/>
      <c r="AS133" s="86"/>
      <c r="AT133" s="80"/>
      <c r="AU133" s="80" t="s">
        <v>6</v>
      </c>
      <c r="AV133" s="80"/>
      <c r="AW133" s="86"/>
      <c r="AX133" s="80"/>
      <c r="AY133" s="88"/>
      <c r="AZ133" s="75" t="s">
        <v>625</v>
      </c>
      <c r="BA133" s="92"/>
      <c r="BB133" s="92"/>
      <c r="BC133" s="71"/>
      <c r="BD133" s="72"/>
      <c r="BE133" s="72"/>
      <c r="BF133" s="72"/>
      <c r="BG133" s="111"/>
      <c r="BH133" s="72"/>
      <c r="BI133" s="96"/>
      <c r="BJ133" s="111"/>
      <c r="BK133" s="111"/>
      <c r="BL133" s="72"/>
      <c r="BM133" s="72"/>
      <c r="BN133" s="72"/>
      <c r="BO133" s="74"/>
      <c r="BP133" s="74"/>
      <c r="BQ133" s="105"/>
      <c r="BR133" s="105"/>
      <c r="BS133" s="71"/>
      <c r="BT133" s="71"/>
      <c r="BU133" s="71"/>
      <c r="BV133" s="96">
        <f t="shared" si="12"/>
        <v>0</v>
      </c>
      <c r="BW133" s="102"/>
      <c r="BX133" s="102"/>
    </row>
    <row r="134" spans="1:82" customFormat="1" ht="120" x14ac:dyDescent="0.25">
      <c r="A134" s="117" t="s">
        <v>218</v>
      </c>
      <c r="B134" s="72"/>
      <c r="C134" s="8" t="s">
        <v>105</v>
      </c>
      <c r="D134" s="72" t="s">
        <v>5</v>
      </c>
      <c r="E134" s="72" t="s">
        <v>68</v>
      </c>
      <c r="F134" s="72"/>
      <c r="G134" s="72" t="s">
        <v>214</v>
      </c>
      <c r="H134" s="72"/>
      <c r="I134" s="74" t="s">
        <v>7</v>
      </c>
      <c r="J134" s="72" t="s">
        <v>7</v>
      </c>
      <c r="K134" s="72" t="s">
        <v>526</v>
      </c>
      <c r="L134" s="85" t="s">
        <v>602</v>
      </c>
      <c r="M134" s="112" t="s">
        <v>623</v>
      </c>
      <c r="N134" s="74" t="s">
        <v>221</v>
      </c>
      <c r="O134" s="74" t="s">
        <v>221</v>
      </c>
      <c r="P134" s="74" t="s">
        <v>221</v>
      </c>
      <c r="Q134" s="112">
        <v>6000</v>
      </c>
      <c r="R134" s="74" t="s">
        <v>223</v>
      </c>
      <c r="S134" s="79"/>
      <c r="T134" s="72">
        <f>AVERAGE(Q134:Q134)</f>
        <v>6000</v>
      </c>
      <c r="U134" s="85"/>
      <c r="V134" s="85"/>
      <c r="W134" s="85"/>
      <c r="X134" s="85"/>
      <c r="Y134" s="85"/>
      <c r="Z134" s="85"/>
      <c r="AA134" s="85"/>
      <c r="AB134" s="72">
        <v>2000</v>
      </c>
      <c r="AC134" s="72" t="s">
        <v>223</v>
      </c>
      <c r="AD134" s="72">
        <f>Q134/100*75</f>
        <v>4500</v>
      </c>
      <c r="AE134" s="87">
        <v>4000</v>
      </c>
      <c r="AF134" s="72" t="s">
        <v>223</v>
      </c>
      <c r="AG134" s="85" t="s">
        <v>476</v>
      </c>
      <c r="AH134" s="87">
        <v>0</v>
      </c>
      <c r="AI134" s="87">
        <v>0</v>
      </c>
      <c r="AJ134" s="72" t="s">
        <v>222</v>
      </c>
      <c r="AK134" s="72">
        <v>0</v>
      </c>
      <c r="AL134" s="87">
        <v>0</v>
      </c>
      <c r="AM134" s="87">
        <v>0</v>
      </c>
      <c r="AN134" s="72" t="s">
        <v>222</v>
      </c>
      <c r="AO134" s="74">
        <v>269</v>
      </c>
      <c r="AP134" s="87">
        <v>29</v>
      </c>
      <c r="AQ134" s="72" t="s">
        <v>223</v>
      </c>
      <c r="AR134" s="74">
        <v>7</v>
      </c>
      <c r="AS134" s="87">
        <v>6590</v>
      </c>
      <c r="AT134" s="72" t="s">
        <v>223</v>
      </c>
      <c r="AU134" s="72" t="s">
        <v>6</v>
      </c>
      <c r="AV134" s="72" t="s">
        <v>6</v>
      </c>
      <c r="AW134" s="87">
        <v>68685</v>
      </c>
      <c r="AX134" s="72" t="s">
        <v>221</v>
      </c>
      <c r="AY134" s="99" t="s">
        <v>75</v>
      </c>
      <c r="AZ134" s="74" t="s">
        <v>221</v>
      </c>
      <c r="BA134" s="92" t="s">
        <v>266</v>
      </c>
      <c r="BB134" s="92" t="s">
        <v>266</v>
      </c>
      <c r="BC134" s="71" t="s">
        <v>221</v>
      </c>
      <c r="BD134" s="74">
        <v>3</v>
      </c>
      <c r="BE134" s="74"/>
      <c r="BF134" s="74"/>
      <c r="BG134" s="111">
        <v>600</v>
      </c>
      <c r="BH134" s="74" t="s">
        <v>223</v>
      </c>
      <c r="BI134" s="96">
        <f>BG134/7*50</f>
        <v>4285.7142857142853</v>
      </c>
      <c r="BJ134" s="111"/>
      <c r="BK134" s="111"/>
      <c r="BL134" s="74">
        <v>3</v>
      </c>
      <c r="BM134" s="74">
        <v>2.6</v>
      </c>
      <c r="BN134" s="74" t="s">
        <v>222</v>
      </c>
      <c r="BO134" s="72"/>
      <c r="BP134" s="72"/>
      <c r="BQ134" s="104" t="s">
        <v>477</v>
      </c>
      <c r="BR134" s="104" t="s">
        <v>478</v>
      </c>
      <c r="BS134" s="71">
        <f>AD134/100*(47)*12.91</f>
        <v>27304.65</v>
      </c>
      <c r="BT134" s="71">
        <f>AD134/100*(53)*25.82</f>
        <v>61580.7</v>
      </c>
      <c r="BU134" s="71">
        <v>159839.75</v>
      </c>
      <c r="BV134" s="96">
        <f t="shared" si="12"/>
        <v>248725.1</v>
      </c>
      <c r="BW134" s="101">
        <f>BM134*(1-0.25)*(1-0.21)*(1-0.25)*1.2</f>
        <v>1.3864500000000002</v>
      </c>
      <c r="BX134" s="101">
        <f>SUBTOTAL(9,BM134,BW134)</f>
        <v>3.9864500000000005</v>
      </c>
    </row>
    <row r="135" spans="1:82" customFormat="1" ht="45" customHeight="1" x14ac:dyDescent="0.25">
      <c r="A135" s="110" t="s">
        <v>36</v>
      </c>
      <c r="B135" s="5">
        <v>692</v>
      </c>
      <c r="C135" s="8" t="s">
        <v>4</v>
      </c>
      <c r="D135" s="8" t="s">
        <v>5</v>
      </c>
      <c r="E135" s="95" t="s">
        <v>25</v>
      </c>
      <c r="F135" s="78"/>
      <c r="G135" s="77" t="s">
        <v>6</v>
      </c>
      <c r="H135" s="77" t="s">
        <v>6</v>
      </c>
      <c r="I135" s="8" t="s">
        <v>27</v>
      </c>
      <c r="J135" s="74" t="s">
        <v>27</v>
      </c>
      <c r="K135" s="74" t="s">
        <v>529</v>
      </c>
      <c r="L135" s="90" t="s">
        <v>600</v>
      </c>
      <c r="M135" s="81">
        <v>2022</v>
      </c>
      <c r="N135" s="74" t="s">
        <v>6</v>
      </c>
      <c r="O135" s="74" t="s">
        <v>221</v>
      </c>
      <c r="P135" s="74" t="s">
        <v>221</v>
      </c>
      <c r="Q135" s="81">
        <v>144676</v>
      </c>
      <c r="R135" s="74" t="s">
        <v>222</v>
      </c>
      <c r="S135" s="79">
        <f>(Q135-AA135)/Q135</f>
        <v>0.10311316320606044</v>
      </c>
      <c r="T135" s="80">
        <f>AVERAGE(Q135:Q135)</f>
        <v>144676</v>
      </c>
      <c r="U135" s="81">
        <v>62703</v>
      </c>
      <c r="V135" s="81">
        <v>75997</v>
      </c>
      <c r="W135" s="81">
        <v>109380</v>
      </c>
      <c r="X135" s="81">
        <v>116738</v>
      </c>
      <c r="Y135" s="81">
        <v>108400</v>
      </c>
      <c r="Z135" s="81">
        <v>122828</v>
      </c>
      <c r="AA135" s="81">
        <v>129758</v>
      </c>
      <c r="AB135" s="80">
        <v>70000</v>
      </c>
      <c r="AC135" s="80" t="s">
        <v>223</v>
      </c>
      <c r="AD135" s="80">
        <f>Q135/100*68</f>
        <v>98379.68</v>
      </c>
      <c r="AE135" s="86">
        <v>74676</v>
      </c>
      <c r="AF135" s="80" t="s">
        <v>223</v>
      </c>
      <c r="AG135" s="81" t="s">
        <v>295</v>
      </c>
      <c r="AH135" s="86">
        <v>76</v>
      </c>
      <c r="AI135" s="86">
        <v>3206</v>
      </c>
      <c r="AJ135" s="80" t="s">
        <v>222</v>
      </c>
      <c r="AK135" s="80">
        <v>46</v>
      </c>
      <c r="AL135" s="86">
        <v>1482</v>
      </c>
      <c r="AM135" s="86">
        <v>100</v>
      </c>
      <c r="AN135" s="80" t="s">
        <v>223</v>
      </c>
      <c r="AO135" s="74">
        <v>145</v>
      </c>
      <c r="AP135" s="86">
        <v>6326</v>
      </c>
      <c r="AQ135" s="80" t="s">
        <v>222</v>
      </c>
      <c r="AR135" s="74">
        <v>0</v>
      </c>
      <c r="AS135" s="86">
        <v>0</v>
      </c>
      <c r="AT135" s="80" t="s">
        <v>222</v>
      </c>
      <c r="AU135" s="80" t="s">
        <v>6</v>
      </c>
      <c r="AV135" s="80" t="s">
        <v>6</v>
      </c>
      <c r="AW135" s="86">
        <v>41777</v>
      </c>
      <c r="AX135" s="80" t="s">
        <v>6</v>
      </c>
      <c r="AY135" s="88">
        <v>1333</v>
      </c>
      <c r="AZ135" s="74" t="s">
        <v>221</v>
      </c>
      <c r="BA135" s="92" t="s">
        <v>266</v>
      </c>
      <c r="BB135" s="92" t="s">
        <v>266</v>
      </c>
      <c r="BC135" s="71" t="s">
        <v>221</v>
      </c>
      <c r="BD135" s="74">
        <v>36</v>
      </c>
      <c r="BE135" s="74">
        <v>10</v>
      </c>
      <c r="BF135" s="74">
        <v>14</v>
      </c>
      <c r="BG135" s="111">
        <v>1246</v>
      </c>
      <c r="BH135" s="74" t="s">
        <v>222</v>
      </c>
      <c r="BI135" s="96">
        <f>BG135/7*50</f>
        <v>8900</v>
      </c>
      <c r="BJ135" s="111">
        <v>1591</v>
      </c>
      <c r="BK135" s="111">
        <v>1041</v>
      </c>
      <c r="BL135" s="74">
        <v>14</v>
      </c>
      <c r="BM135" s="74">
        <v>9.8000000000000007</v>
      </c>
      <c r="BN135" s="74" t="s">
        <v>222</v>
      </c>
      <c r="BO135" s="74">
        <v>14</v>
      </c>
      <c r="BP135" s="74">
        <v>11</v>
      </c>
      <c r="BQ135" s="104" t="s">
        <v>75</v>
      </c>
      <c r="BR135" s="104" t="s">
        <v>75</v>
      </c>
      <c r="BS135" s="71">
        <f>AD135/100*(31)*17.99</f>
        <v>548653.63739199995</v>
      </c>
      <c r="BT135" s="71">
        <f>AD135/100*(69)*35.98</f>
        <v>2442393.6116160001</v>
      </c>
      <c r="BU135" s="71"/>
      <c r="BV135" s="96">
        <f t="shared" si="12"/>
        <v>2991047.2490079999</v>
      </c>
      <c r="BW135" s="101">
        <f>BM135*(1-0.25)*(1-0.25)*(1-0.375)*1.2</f>
        <v>4.1343749999999995</v>
      </c>
      <c r="BX135" s="101">
        <f>SUBTOTAL(9,BM135,BW135)</f>
        <v>13.934374999999999</v>
      </c>
    </row>
    <row r="136" spans="1:82" customFormat="1" ht="45" customHeight="1" x14ac:dyDescent="0.25">
      <c r="A136" s="18" t="s">
        <v>130</v>
      </c>
      <c r="B136" s="5">
        <v>1729</v>
      </c>
      <c r="C136" s="8" t="s">
        <v>4</v>
      </c>
      <c r="D136" s="8" t="s">
        <v>5</v>
      </c>
      <c r="E136" s="8" t="s">
        <v>109</v>
      </c>
      <c r="F136" s="8"/>
      <c r="G136" s="77"/>
      <c r="H136" s="77"/>
      <c r="I136" s="8" t="s">
        <v>53</v>
      </c>
      <c r="J136" s="74"/>
      <c r="K136" s="74"/>
      <c r="L136" s="90"/>
      <c r="M136" s="81"/>
      <c r="N136" s="75"/>
      <c r="O136" s="75"/>
      <c r="P136" s="75"/>
      <c r="Q136" s="81"/>
      <c r="R136" s="72"/>
      <c r="S136" s="79"/>
      <c r="T136" s="80"/>
      <c r="U136" s="81"/>
      <c r="V136" s="81"/>
      <c r="W136" s="81"/>
      <c r="X136" s="81"/>
      <c r="Y136" s="81"/>
      <c r="Z136" s="81"/>
      <c r="AA136" s="81"/>
      <c r="AB136" s="80"/>
      <c r="AC136" s="80"/>
      <c r="AD136" s="80"/>
      <c r="AE136" s="86"/>
      <c r="AF136" s="80"/>
      <c r="AG136" s="81"/>
      <c r="AH136" s="86"/>
      <c r="AI136" s="86"/>
      <c r="AJ136" s="80"/>
      <c r="AK136" s="80"/>
      <c r="AL136" s="86"/>
      <c r="AM136" s="86"/>
      <c r="AN136" s="80"/>
      <c r="AO136" s="75"/>
      <c r="AP136" s="86"/>
      <c r="AQ136" s="80"/>
      <c r="AR136" s="75"/>
      <c r="AS136" s="86"/>
      <c r="AT136" s="80"/>
      <c r="AU136" s="80" t="s">
        <v>6</v>
      </c>
      <c r="AV136" s="80"/>
      <c r="AW136" s="86"/>
      <c r="AX136" s="80"/>
      <c r="AY136" s="88"/>
      <c r="AZ136" s="75" t="s">
        <v>214</v>
      </c>
      <c r="BA136" s="92">
        <v>7.75</v>
      </c>
      <c r="BB136" s="92">
        <v>3.85</v>
      </c>
      <c r="BC136" s="71"/>
      <c r="BD136" s="72"/>
      <c r="BE136" s="72"/>
      <c r="BF136" s="72"/>
      <c r="BG136" s="111"/>
      <c r="BH136" s="72"/>
      <c r="BI136" s="96"/>
      <c r="BJ136" s="111"/>
      <c r="BK136" s="111"/>
      <c r="BL136" s="72"/>
      <c r="BM136" s="72"/>
      <c r="BN136" s="72"/>
      <c r="BO136" s="74"/>
      <c r="BP136" s="74"/>
      <c r="BQ136" s="105"/>
      <c r="BR136" s="105"/>
      <c r="BS136" s="71"/>
      <c r="BT136" s="71"/>
      <c r="BU136" s="71"/>
      <c r="BV136" s="96">
        <f t="shared" si="12"/>
        <v>0</v>
      </c>
      <c r="BW136" s="102"/>
      <c r="BX136" s="102"/>
    </row>
    <row r="137" spans="1:82" customFormat="1" ht="93.75" customHeight="1" x14ac:dyDescent="0.25">
      <c r="A137" s="18" t="s">
        <v>157</v>
      </c>
      <c r="B137" s="5">
        <v>1472</v>
      </c>
      <c r="C137" s="8" t="s">
        <v>4</v>
      </c>
      <c r="D137" s="8" t="s">
        <v>5</v>
      </c>
      <c r="E137" s="76" t="s">
        <v>137</v>
      </c>
      <c r="F137" s="94"/>
      <c r="G137" s="77" t="s">
        <v>214</v>
      </c>
      <c r="H137" s="77" t="s">
        <v>6</v>
      </c>
      <c r="I137" s="8" t="s">
        <v>7</v>
      </c>
      <c r="J137" s="74" t="s">
        <v>7</v>
      </c>
      <c r="K137" s="74" t="s">
        <v>527</v>
      </c>
      <c r="L137" s="90" t="s">
        <v>600</v>
      </c>
      <c r="M137" s="81">
        <v>2400</v>
      </c>
      <c r="N137" s="74" t="s">
        <v>6</v>
      </c>
      <c r="O137" s="74" t="s">
        <v>221</v>
      </c>
      <c r="P137" s="74" t="s">
        <v>221</v>
      </c>
      <c r="Q137" s="81">
        <v>14000</v>
      </c>
      <c r="R137" s="74" t="s">
        <v>223</v>
      </c>
      <c r="S137" s="79">
        <f>(Q137-AA137)/Q137</f>
        <v>-4.2357142857142857E-2</v>
      </c>
      <c r="T137" s="80">
        <f>AVERAGE(Q137:Q137)</f>
        <v>14000</v>
      </c>
      <c r="U137" s="81"/>
      <c r="V137" s="81"/>
      <c r="W137" s="81">
        <v>15006</v>
      </c>
      <c r="X137" s="81">
        <v>16124</v>
      </c>
      <c r="Y137" s="81">
        <v>17893</v>
      </c>
      <c r="Z137" s="81">
        <v>18621</v>
      </c>
      <c r="AA137" s="81">
        <v>14593</v>
      </c>
      <c r="AB137" s="80">
        <v>11500</v>
      </c>
      <c r="AC137" s="80" t="s">
        <v>223</v>
      </c>
      <c r="AD137" s="80">
        <f>Q137/100*69</f>
        <v>9660</v>
      </c>
      <c r="AE137" s="86">
        <v>2500</v>
      </c>
      <c r="AF137" s="80" t="s">
        <v>223</v>
      </c>
      <c r="AG137" s="81" t="s">
        <v>479</v>
      </c>
      <c r="AH137" s="86">
        <v>29</v>
      </c>
      <c r="AI137" s="86">
        <v>259</v>
      </c>
      <c r="AJ137" s="80" t="s">
        <v>222</v>
      </c>
      <c r="AK137" s="80">
        <v>0</v>
      </c>
      <c r="AL137" s="86">
        <v>0</v>
      </c>
      <c r="AM137" s="86">
        <v>14</v>
      </c>
      <c r="AN137" s="80" t="s">
        <v>222</v>
      </c>
      <c r="AO137" s="74">
        <v>19</v>
      </c>
      <c r="AP137" s="86">
        <v>302</v>
      </c>
      <c r="AQ137" s="80" t="s">
        <v>223</v>
      </c>
      <c r="AR137" s="74">
        <v>0</v>
      </c>
      <c r="AS137" s="86">
        <v>0</v>
      </c>
      <c r="AT137" s="80" t="s">
        <v>223</v>
      </c>
      <c r="AU137" s="80" t="s">
        <v>6</v>
      </c>
      <c r="AV137" s="80" t="s">
        <v>6</v>
      </c>
      <c r="AW137" s="86">
        <v>4256</v>
      </c>
      <c r="AX137" s="80" t="s">
        <v>6</v>
      </c>
      <c r="AY137" s="88">
        <v>804</v>
      </c>
      <c r="AZ137" s="74" t="s">
        <v>6</v>
      </c>
      <c r="BA137" s="92">
        <v>4</v>
      </c>
      <c r="BB137" s="92">
        <v>2</v>
      </c>
      <c r="BC137" s="71" t="s">
        <v>221</v>
      </c>
      <c r="BD137" s="74">
        <v>51</v>
      </c>
      <c r="BE137" s="74">
        <v>47</v>
      </c>
      <c r="BF137" s="74">
        <v>45</v>
      </c>
      <c r="BG137" s="111">
        <v>3000</v>
      </c>
      <c r="BH137" s="74" t="s">
        <v>223</v>
      </c>
      <c r="BI137" s="96">
        <f>BG137/7*50</f>
        <v>21428.571428571428</v>
      </c>
      <c r="BJ137" s="111">
        <v>4500</v>
      </c>
      <c r="BK137" s="111">
        <v>20000</v>
      </c>
      <c r="BL137" s="74">
        <v>3</v>
      </c>
      <c r="BM137" s="74">
        <v>1</v>
      </c>
      <c r="BN137" s="74" t="s">
        <v>222</v>
      </c>
      <c r="BO137" s="74">
        <v>2</v>
      </c>
      <c r="BP137" s="74">
        <v>1.2</v>
      </c>
      <c r="BQ137" s="104" t="s">
        <v>480</v>
      </c>
      <c r="BR137" s="104" t="s">
        <v>481</v>
      </c>
      <c r="BS137" s="71">
        <f>AD137/100*(44)*14.08</f>
        <v>59845.631999999998</v>
      </c>
      <c r="BT137" s="71">
        <f>AD137/100*(56)*28.16</f>
        <v>152334.33599999998</v>
      </c>
      <c r="BU137" s="71">
        <v>50582.912499999999</v>
      </c>
      <c r="BV137" s="96">
        <f t="shared" si="12"/>
        <v>262762.88049999997</v>
      </c>
      <c r="BW137" s="101">
        <f>BM137*(1-0.25)*(1-0.26)*(1-0.25)*1.2</f>
        <v>0.49949999999999994</v>
      </c>
      <c r="BX137" s="101">
        <f>SUBTOTAL(9,BM137,BW137)</f>
        <v>1.4994999999999998</v>
      </c>
    </row>
    <row r="138" spans="1:82" customFormat="1" ht="195" x14ac:dyDescent="0.25">
      <c r="A138" s="117" t="s">
        <v>219</v>
      </c>
      <c r="B138" s="72"/>
      <c r="C138" s="8" t="s">
        <v>105</v>
      </c>
      <c r="D138" s="8" t="s">
        <v>5</v>
      </c>
      <c r="E138" s="72" t="s">
        <v>137</v>
      </c>
      <c r="F138" s="72"/>
      <c r="G138" s="72" t="s">
        <v>214</v>
      </c>
      <c r="H138" s="72"/>
      <c r="I138" s="74" t="s">
        <v>7</v>
      </c>
      <c r="J138" s="72" t="s">
        <v>7</v>
      </c>
      <c r="K138" s="72" t="s">
        <v>527</v>
      </c>
      <c r="L138" s="85" t="s">
        <v>599</v>
      </c>
      <c r="M138" s="112">
        <v>2280</v>
      </c>
      <c r="N138" s="74" t="s">
        <v>6</v>
      </c>
      <c r="O138" s="74" t="s">
        <v>221</v>
      </c>
      <c r="P138" s="74" t="s">
        <v>221</v>
      </c>
      <c r="Q138" s="112">
        <v>20000</v>
      </c>
      <c r="R138" s="74" t="s">
        <v>223</v>
      </c>
      <c r="S138" s="79"/>
      <c r="T138" s="72">
        <f>AVERAGE(Q138:Q138)</f>
        <v>20000</v>
      </c>
      <c r="U138" s="85"/>
      <c r="V138" s="85"/>
      <c r="W138" s="85"/>
      <c r="X138" s="85"/>
      <c r="Y138" s="85"/>
      <c r="Z138" s="85"/>
      <c r="AA138" s="85"/>
      <c r="AB138" s="72">
        <v>18000</v>
      </c>
      <c r="AC138" s="72" t="s">
        <v>223</v>
      </c>
      <c r="AD138" s="72">
        <f>Q138/100*69</f>
        <v>13800</v>
      </c>
      <c r="AE138" s="87">
        <v>2000</v>
      </c>
      <c r="AF138" s="72" t="s">
        <v>223</v>
      </c>
      <c r="AG138" s="85" t="s">
        <v>75</v>
      </c>
      <c r="AH138" s="87">
        <v>30</v>
      </c>
      <c r="AI138" s="87">
        <v>400</v>
      </c>
      <c r="AJ138" s="72" t="s">
        <v>223</v>
      </c>
      <c r="AK138" s="72">
        <v>2</v>
      </c>
      <c r="AL138" s="87">
        <v>60</v>
      </c>
      <c r="AM138" s="87">
        <v>2</v>
      </c>
      <c r="AN138" s="72" t="s">
        <v>223</v>
      </c>
      <c r="AO138" s="74">
        <v>20</v>
      </c>
      <c r="AP138" s="87">
        <v>300</v>
      </c>
      <c r="AQ138" s="72" t="s">
        <v>223</v>
      </c>
      <c r="AR138" s="74">
        <v>2</v>
      </c>
      <c r="AS138" s="87">
        <v>60</v>
      </c>
      <c r="AT138" s="72" t="s">
        <v>223</v>
      </c>
      <c r="AU138" s="72" t="s">
        <v>6</v>
      </c>
      <c r="AV138" s="72" t="s">
        <v>6</v>
      </c>
      <c r="AW138" s="87">
        <v>15000</v>
      </c>
      <c r="AX138" s="72" t="s">
        <v>6</v>
      </c>
      <c r="AY138" s="99">
        <v>500</v>
      </c>
      <c r="AZ138" s="74" t="s">
        <v>221</v>
      </c>
      <c r="BA138" s="92" t="s">
        <v>266</v>
      </c>
      <c r="BB138" s="92" t="s">
        <v>266</v>
      </c>
      <c r="BC138" s="71" t="s">
        <v>221</v>
      </c>
      <c r="BD138" s="74">
        <v>8</v>
      </c>
      <c r="BE138" s="74"/>
      <c r="BF138" s="74"/>
      <c r="BG138" s="111">
        <v>4500</v>
      </c>
      <c r="BH138" s="74" t="s">
        <v>223</v>
      </c>
      <c r="BI138" s="96">
        <f>BG138/7*50</f>
        <v>32142.857142857145</v>
      </c>
      <c r="BJ138" s="111"/>
      <c r="BK138" s="111"/>
      <c r="BL138" s="74">
        <v>2</v>
      </c>
      <c r="BM138" s="74">
        <v>2</v>
      </c>
      <c r="BN138" s="74" t="s">
        <v>222</v>
      </c>
      <c r="BO138" s="72"/>
      <c r="BP138" s="72"/>
      <c r="BQ138" s="104" t="s">
        <v>482</v>
      </c>
      <c r="BR138" s="104" t="s">
        <v>483</v>
      </c>
      <c r="BS138" s="71">
        <f>AD138/100*(44)*14.08</f>
        <v>85493.759999999995</v>
      </c>
      <c r="BT138" s="71">
        <f>AD138/100*(56)*28.16</f>
        <v>217620.48000000001</v>
      </c>
      <c r="BU138" s="71">
        <v>50825</v>
      </c>
      <c r="BV138" s="96">
        <f t="shared" si="12"/>
        <v>353939.24</v>
      </c>
      <c r="BW138" s="101">
        <f>BM138*(1-0.25)*(1-0.26)*(1-0.25)*1.2</f>
        <v>0.99899999999999989</v>
      </c>
      <c r="BX138" s="101">
        <f>SUBTOTAL(9,BM138,BW138)</f>
        <v>2.9989999999999997</v>
      </c>
    </row>
    <row r="139" spans="1:82" customFormat="1" ht="45" customHeight="1" x14ac:dyDescent="0.25">
      <c r="A139" s="18" t="s">
        <v>78</v>
      </c>
      <c r="B139" s="5">
        <v>656</v>
      </c>
      <c r="C139" s="8" t="s">
        <v>4</v>
      </c>
      <c r="D139" s="8" t="s">
        <v>5</v>
      </c>
      <c r="E139" s="8" t="s">
        <v>68</v>
      </c>
      <c r="F139" s="8" t="s">
        <v>74</v>
      </c>
      <c r="G139" s="77"/>
      <c r="H139" s="77" t="s">
        <v>6</v>
      </c>
      <c r="I139" s="8" t="s">
        <v>9</v>
      </c>
      <c r="J139" s="75"/>
      <c r="K139" s="75"/>
      <c r="L139" s="122"/>
      <c r="M139" s="81"/>
      <c r="N139" s="74"/>
      <c r="O139" s="74"/>
      <c r="P139" s="74"/>
      <c r="Q139" s="81"/>
      <c r="R139" s="72"/>
      <c r="S139" s="79"/>
      <c r="T139" s="80" t="e">
        <f>AVERAGE(Q139:Q139)</f>
        <v>#DIV/0!</v>
      </c>
      <c r="U139" s="81"/>
      <c r="V139" s="81"/>
      <c r="W139" s="81"/>
      <c r="X139" s="81"/>
      <c r="Y139" s="81">
        <v>7501</v>
      </c>
      <c r="Z139" s="81">
        <v>7581</v>
      </c>
      <c r="AA139" s="81">
        <v>7556</v>
      </c>
      <c r="AB139" s="80"/>
      <c r="AC139" s="80"/>
      <c r="AD139" s="80"/>
      <c r="AE139" s="86"/>
      <c r="AF139" s="80"/>
      <c r="AG139" s="81"/>
      <c r="AH139" s="86"/>
      <c r="AI139" s="86"/>
      <c r="AJ139" s="80"/>
      <c r="AK139" s="80"/>
      <c r="AL139" s="86"/>
      <c r="AM139" s="86"/>
      <c r="AN139" s="80"/>
      <c r="AO139" s="74"/>
      <c r="AP139" s="86"/>
      <c r="AQ139" s="80"/>
      <c r="AR139" s="74"/>
      <c r="AS139" s="86"/>
      <c r="AT139" s="80"/>
      <c r="AU139" s="80" t="s">
        <v>6</v>
      </c>
      <c r="AV139" s="80"/>
      <c r="AW139" s="86"/>
      <c r="AX139" s="80"/>
      <c r="AY139" s="88"/>
      <c r="AZ139" s="74" t="s">
        <v>221</v>
      </c>
      <c r="BA139" s="92" t="s">
        <v>266</v>
      </c>
      <c r="BB139" s="92" t="s">
        <v>266</v>
      </c>
      <c r="BC139" s="71"/>
      <c r="BD139" s="72"/>
      <c r="BE139" s="72"/>
      <c r="BF139" s="72" t="s">
        <v>609</v>
      </c>
      <c r="BG139" s="111"/>
      <c r="BH139" s="72"/>
      <c r="BI139" s="96"/>
      <c r="BJ139" s="111"/>
      <c r="BK139" s="111" t="s">
        <v>609</v>
      </c>
      <c r="BL139" s="72"/>
      <c r="BM139" s="72"/>
      <c r="BN139" s="72"/>
      <c r="BO139" s="75" t="s">
        <v>609</v>
      </c>
      <c r="BP139" s="75" t="s">
        <v>609</v>
      </c>
      <c r="BQ139" s="104"/>
      <c r="BR139" s="104"/>
      <c r="BS139" s="71"/>
      <c r="BT139" s="71"/>
      <c r="BU139" s="71"/>
      <c r="BV139" s="96">
        <f t="shared" si="12"/>
        <v>0</v>
      </c>
      <c r="BW139" s="101"/>
      <c r="BX139" s="101"/>
    </row>
    <row r="140" spans="1:82" customFormat="1" ht="45" customHeight="1" x14ac:dyDescent="0.25">
      <c r="A140" s="18" t="s">
        <v>73</v>
      </c>
      <c r="B140" s="5">
        <v>653</v>
      </c>
      <c r="C140" s="8" t="s">
        <v>4</v>
      </c>
      <c r="D140" s="8" t="s">
        <v>5</v>
      </c>
      <c r="E140" s="8" t="s">
        <v>68</v>
      </c>
      <c r="F140" s="8" t="s">
        <v>74</v>
      </c>
      <c r="G140" s="77"/>
      <c r="H140" s="77" t="s">
        <v>6</v>
      </c>
      <c r="I140" s="8" t="s">
        <v>9</v>
      </c>
      <c r="J140" s="75"/>
      <c r="K140" s="75"/>
      <c r="L140" s="122"/>
      <c r="M140" s="81"/>
      <c r="N140" s="74"/>
      <c r="O140" s="74"/>
      <c r="P140" s="74"/>
      <c r="Q140" s="81"/>
      <c r="R140" s="72"/>
      <c r="S140" s="79"/>
      <c r="T140" s="80" t="e">
        <f>AVERAGE(Q140:Q140)</f>
        <v>#DIV/0!</v>
      </c>
      <c r="U140" s="81"/>
      <c r="V140" s="81"/>
      <c r="W140" s="81"/>
      <c r="X140" s="81"/>
      <c r="Y140" s="81">
        <v>21734</v>
      </c>
      <c r="Z140" s="81">
        <v>15402</v>
      </c>
      <c r="AA140" s="81">
        <v>14366</v>
      </c>
      <c r="AB140" s="80"/>
      <c r="AC140" s="80"/>
      <c r="AD140" s="80"/>
      <c r="AE140" s="86"/>
      <c r="AF140" s="80"/>
      <c r="AG140" s="81"/>
      <c r="AH140" s="86"/>
      <c r="AI140" s="86"/>
      <c r="AJ140" s="80"/>
      <c r="AK140" s="80"/>
      <c r="AL140" s="86"/>
      <c r="AM140" s="86"/>
      <c r="AN140" s="80"/>
      <c r="AO140" s="74"/>
      <c r="AP140" s="86"/>
      <c r="AQ140" s="80"/>
      <c r="AR140" s="74"/>
      <c r="AS140" s="86"/>
      <c r="AT140" s="80"/>
      <c r="AU140" s="80" t="s">
        <v>6</v>
      </c>
      <c r="AV140" s="80"/>
      <c r="AW140" s="86"/>
      <c r="AX140" s="80"/>
      <c r="AY140" s="88"/>
      <c r="AZ140" s="74" t="s">
        <v>221</v>
      </c>
      <c r="BA140" s="92" t="s">
        <v>266</v>
      </c>
      <c r="BB140" s="92" t="s">
        <v>266</v>
      </c>
      <c r="BC140" s="71"/>
      <c r="BD140" s="72"/>
      <c r="BE140" s="72">
        <v>38</v>
      </c>
      <c r="BF140" s="72">
        <v>42</v>
      </c>
      <c r="BG140" s="111"/>
      <c r="BH140" s="72"/>
      <c r="BI140" s="96">
        <f>BG140/7*50</f>
        <v>0</v>
      </c>
      <c r="BJ140" s="111">
        <v>2362.5</v>
      </c>
      <c r="BK140" s="111">
        <v>3307.5</v>
      </c>
      <c r="BL140" s="72"/>
      <c r="BM140" s="72"/>
      <c r="BN140" s="72"/>
      <c r="BO140" s="75">
        <v>21</v>
      </c>
      <c r="BP140" s="75">
        <v>12</v>
      </c>
      <c r="BQ140" s="104"/>
      <c r="BR140" s="104"/>
      <c r="BS140" s="71"/>
      <c r="BT140" s="71"/>
      <c r="BU140" s="71"/>
      <c r="BV140" s="96">
        <f t="shared" si="12"/>
        <v>0</v>
      </c>
      <c r="BW140" s="101"/>
      <c r="BX140" s="101"/>
    </row>
    <row r="141" spans="1:82" customFormat="1" ht="45" customHeight="1" x14ac:dyDescent="0.25">
      <c r="A141" s="18" t="s">
        <v>69</v>
      </c>
      <c r="B141" s="5">
        <v>490</v>
      </c>
      <c r="C141" s="8" t="s">
        <v>4</v>
      </c>
      <c r="D141" s="8" t="s">
        <v>5</v>
      </c>
      <c r="E141" s="8" t="s">
        <v>68</v>
      </c>
      <c r="F141" s="8"/>
      <c r="G141" s="8"/>
      <c r="H141" s="8"/>
      <c r="I141" s="8" t="s">
        <v>7</v>
      </c>
      <c r="J141" s="74"/>
      <c r="K141" s="74"/>
      <c r="L141" s="90"/>
      <c r="M141" s="81"/>
      <c r="N141" s="74"/>
      <c r="O141" s="74"/>
      <c r="P141" s="74"/>
      <c r="Q141" s="81"/>
      <c r="R141" s="72"/>
      <c r="S141" s="79"/>
      <c r="T141" s="80"/>
      <c r="U141" s="81"/>
      <c r="V141" s="81"/>
      <c r="W141" s="81"/>
      <c r="X141" s="81"/>
      <c r="Y141" s="81"/>
      <c r="Z141" s="81"/>
      <c r="AA141" s="81"/>
      <c r="AB141" s="80"/>
      <c r="AC141" s="80"/>
      <c r="AD141" s="80"/>
      <c r="AE141" s="86"/>
      <c r="AF141" s="80"/>
      <c r="AG141" s="81"/>
      <c r="AH141" s="86"/>
      <c r="AI141" s="86"/>
      <c r="AJ141" s="80"/>
      <c r="AK141" s="80"/>
      <c r="AL141" s="86"/>
      <c r="AM141" s="86"/>
      <c r="AN141" s="80"/>
      <c r="AO141" s="74"/>
      <c r="AP141" s="86"/>
      <c r="AQ141" s="80"/>
      <c r="AR141" s="74"/>
      <c r="AS141" s="86"/>
      <c r="AT141" s="80"/>
      <c r="AU141" s="80" t="s">
        <v>6</v>
      </c>
      <c r="AV141" s="80"/>
      <c r="AW141" s="86"/>
      <c r="AX141" s="80"/>
      <c r="AY141" s="88"/>
      <c r="AZ141" s="74" t="s">
        <v>6</v>
      </c>
      <c r="BA141" s="92">
        <v>1.5</v>
      </c>
      <c r="BB141" s="92">
        <v>0.5</v>
      </c>
      <c r="BC141" s="71"/>
      <c r="BD141" s="72"/>
      <c r="BE141" s="72"/>
      <c r="BF141" s="72"/>
      <c r="BG141" s="111"/>
      <c r="BH141" s="72"/>
      <c r="BI141" s="96"/>
      <c r="BJ141" s="111"/>
      <c r="BK141" s="111"/>
      <c r="BL141" s="72"/>
      <c r="BM141" s="72"/>
      <c r="BN141" s="72"/>
      <c r="BO141" s="74"/>
      <c r="BP141" s="74"/>
      <c r="BQ141" s="104"/>
      <c r="BR141" s="104"/>
      <c r="BS141" s="71"/>
      <c r="BT141" s="71"/>
      <c r="BU141" s="71"/>
      <c r="BV141" s="96">
        <f t="shared" si="12"/>
        <v>0</v>
      </c>
      <c r="BW141" s="101"/>
      <c r="BX141" s="101"/>
    </row>
    <row r="142" spans="1:82" customFormat="1" ht="45" customHeight="1" x14ac:dyDescent="0.25">
      <c r="A142" s="113" t="s">
        <v>187</v>
      </c>
      <c r="B142" s="5">
        <v>808</v>
      </c>
      <c r="C142" s="8" t="s">
        <v>4</v>
      </c>
      <c r="D142" s="8" t="s">
        <v>5</v>
      </c>
      <c r="E142" s="76" t="s">
        <v>174</v>
      </c>
      <c r="F142" s="76"/>
      <c r="G142" s="77" t="s">
        <v>6</v>
      </c>
      <c r="H142" s="77" t="s">
        <v>6</v>
      </c>
      <c r="I142" s="8" t="s">
        <v>7</v>
      </c>
      <c r="J142" s="74" t="s">
        <v>7</v>
      </c>
      <c r="K142" s="74" t="s">
        <v>526</v>
      </c>
      <c r="L142" s="90" t="s">
        <v>600</v>
      </c>
      <c r="M142" s="81">
        <v>230</v>
      </c>
      <c r="N142" s="75" t="s">
        <v>6</v>
      </c>
      <c r="O142" s="75" t="s">
        <v>221</v>
      </c>
      <c r="P142" s="75" t="s">
        <v>221</v>
      </c>
      <c r="Q142" s="81">
        <v>4995</v>
      </c>
      <c r="R142" s="74" t="s">
        <v>222</v>
      </c>
      <c r="S142" s="79">
        <f t="shared" ref="S142:S147" si="13">(Q142-AA142)/Q142</f>
        <v>-1.4014014014014014E-2</v>
      </c>
      <c r="T142" s="80">
        <f t="shared" ref="T142:T160" si="14">AVERAGE(Q142:Q142)</f>
        <v>4995</v>
      </c>
      <c r="U142" s="81">
        <v>7235</v>
      </c>
      <c r="V142" s="81">
        <v>7517</v>
      </c>
      <c r="W142" s="81">
        <v>6143</v>
      </c>
      <c r="X142" s="81"/>
      <c r="Y142" s="81">
        <v>4278</v>
      </c>
      <c r="Z142" s="81">
        <v>3390</v>
      </c>
      <c r="AA142" s="81">
        <v>5065</v>
      </c>
      <c r="AB142" s="80">
        <v>4260</v>
      </c>
      <c r="AC142" s="80" t="s">
        <v>75</v>
      </c>
      <c r="AD142" s="80">
        <f>Q142/100*75</f>
        <v>3746.25</v>
      </c>
      <c r="AE142" s="86">
        <v>735</v>
      </c>
      <c r="AF142" s="80" t="s">
        <v>222</v>
      </c>
      <c r="AG142" s="81" t="s">
        <v>75</v>
      </c>
      <c r="AH142" s="86">
        <v>6</v>
      </c>
      <c r="AI142" s="86">
        <v>76</v>
      </c>
      <c r="AJ142" s="80" t="s">
        <v>222</v>
      </c>
      <c r="AK142" s="80">
        <v>2</v>
      </c>
      <c r="AL142" s="86">
        <v>26</v>
      </c>
      <c r="AM142" s="86">
        <v>4</v>
      </c>
      <c r="AN142" s="80" t="s">
        <v>222</v>
      </c>
      <c r="AO142" s="75" t="s">
        <v>266</v>
      </c>
      <c r="AP142" s="86" t="s">
        <v>266</v>
      </c>
      <c r="AQ142" s="80" t="s">
        <v>75</v>
      </c>
      <c r="AR142" s="75" t="s">
        <v>266</v>
      </c>
      <c r="AS142" s="86" t="s">
        <v>434</v>
      </c>
      <c r="AT142" s="80" t="s">
        <v>75</v>
      </c>
      <c r="AU142" s="80" t="s">
        <v>6</v>
      </c>
      <c r="AV142" s="80" t="s">
        <v>6</v>
      </c>
      <c r="AW142" s="86">
        <v>86491</v>
      </c>
      <c r="AX142" s="80" t="s">
        <v>6</v>
      </c>
      <c r="AY142" s="88" t="s">
        <v>372</v>
      </c>
      <c r="AZ142" s="75" t="s">
        <v>221</v>
      </c>
      <c r="BA142" s="92" t="s">
        <v>266</v>
      </c>
      <c r="BB142" s="92" t="s">
        <v>266</v>
      </c>
      <c r="BC142" s="71" t="s">
        <v>221</v>
      </c>
      <c r="BD142" s="74">
        <v>65</v>
      </c>
      <c r="BE142" s="74">
        <v>50</v>
      </c>
      <c r="BF142" s="74">
        <v>61</v>
      </c>
      <c r="BG142" s="111">
        <v>2011</v>
      </c>
      <c r="BH142" s="74" t="s">
        <v>223</v>
      </c>
      <c r="BI142" s="96">
        <f t="shared" ref="BI142:BI148" si="15">BG142/7*50</f>
        <v>14364.285714285714</v>
      </c>
      <c r="BJ142" s="111"/>
      <c r="BK142" s="111">
        <v>1520</v>
      </c>
      <c r="BL142" s="74">
        <v>0</v>
      </c>
      <c r="BM142" s="74">
        <v>0</v>
      </c>
      <c r="BN142" s="74" t="s">
        <v>75</v>
      </c>
      <c r="BO142" s="74">
        <v>0</v>
      </c>
      <c r="BP142" s="74">
        <v>0</v>
      </c>
      <c r="BQ142" s="105" t="s">
        <v>75</v>
      </c>
      <c r="BR142" s="105" t="s">
        <v>75</v>
      </c>
      <c r="BS142" s="71">
        <f>AD142/100*(47)*12.86</f>
        <v>22643.08425</v>
      </c>
      <c r="BT142" s="71">
        <f>AD142/100*(53)*25.73</f>
        <v>51087.236624999998</v>
      </c>
      <c r="BU142" s="71">
        <v>13849.73625</v>
      </c>
      <c r="BV142" s="96">
        <f t="shared" si="12"/>
        <v>87580.057125000007</v>
      </c>
      <c r="BW142" s="102">
        <f>BM142*(1-0.25)*(1-0.21)*(1-0.25)*1.2</f>
        <v>0</v>
      </c>
      <c r="BX142" s="102">
        <f>SUBTOTAL(9,BM142,BW142)</f>
        <v>0</v>
      </c>
    </row>
    <row r="143" spans="1:82" customFormat="1" ht="75" x14ac:dyDescent="0.25">
      <c r="A143" s="18" t="s">
        <v>50</v>
      </c>
      <c r="B143" s="5">
        <v>1668</v>
      </c>
      <c r="C143" s="8" t="s">
        <v>4</v>
      </c>
      <c r="D143" s="8" t="s">
        <v>5</v>
      </c>
      <c r="E143" s="95" t="s">
        <v>25</v>
      </c>
      <c r="F143" s="78"/>
      <c r="G143" s="77" t="s">
        <v>214</v>
      </c>
      <c r="H143" s="77" t="s">
        <v>6</v>
      </c>
      <c r="I143" s="8" t="s">
        <v>7</v>
      </c>
      <c r="J143" s="74" t="s">
        <v>7</v>
      </c>
      <c r="K143" s="74" t="s">
        <v>526</v>
      </c>
      <c r="L143" s="90" t="s">
        <v>600</v>
      </c>
      <c r="M143" s="81" t="s">
        <v>575</v>
      </c>
      <c r="N143" s="74" t="s">
        <v>6</v>
      </c>
      <c r="O143" s="74" t="s">
        <v>221</v>
      </c>
      <c r="P143" s="74" t="s">
        <v>221</v>
      </c>
      <c r="Q143" s="81">
        <v>8105</v>
      </c>
      <c r="R143" s="74" t="s">
        <v>223</v>
      </c>
      <c r="S143" s="79">
        <f t="shared" si="13"/>
        <v>0.25342381246144358</v>
      </c>
      <c r="T143" s="80">
        <f t="shared" si="14"/>
        <v>8105</v>
      </c>
      <c r="U143" s="81"/>
      <c r="V143" s="81"/>
      <c r="W143" s="81"/>
      <c r="X143" s="81"/>
      <c r="Y143" s="81">
        <v>8251</v>
      </c>
      <c r="Z143" s="81">
        <v>10483</v>
      </c>
      <c r="AA143" s="81">
        <v>6051</v>
      </c>
      <c r="AB143" s="80">
        <v>5155</v>
      </c>
      <c r="AC143" s="80" t="s">
        <v>223</v>
      </c>
      <c r="AD143" s="80">
        <f>Q143/100*75</f>
        <v>6078.75</v>
      </c>
      <c r="AE143" s="86">
        <v>2950</v>
      </c>
      <c r="AF143" s="80" t="s">
        <v>223</v>
      </c>
      <c r="AG143" s="81" t="s">
        <v>576</v>
      </c>
      <c r="AH143" s="86">
        <v>9</v>
      </c>
      <c r="AI143" s="86">
        <v>257</v>
      </c>
      <c r="AJ143" s="80" t="s">
        <v>222</v>
      </c>
      <c r="AK143" s="80">
        <v>12</v>
      </c>
      <c r="AL143" s="86">
        <v>360</v>
      </c>
      <c r="AM143" s="86">
        <v>10</v>
      </c>
      <c r="AN143" s="80" t="s">
        <v>223</v>
      </c>
      <c r="AO143" s="74">
        <v>38</v>
      </c>
      <c r="AP143" s="86">
        <v>504</v>
      </c>
      <c r="AQ143" s="80" t="s">
        <v>223</v>
      </c>
      <c r="AR143" s="74">
        <v>21</v>
      </c>
      <c r="AS143" s="86">
        <v>2419</v>
      </c>
      <c r="AT143" s="80" t="s">
        <v>223</v>
      </c>
      <c r="AU143" s="80" t="s">
        <v>6</v>
      </c>
      <c r="AV143" s="80" t="s">
        <v>6</v>
      </c>
      <c r="AW143" s="86" t="s">
        <v>577</v>
      </c>
      <c r="AX143" s="80" t="s">
        <v>6</v>
      </c>
      <c r="AY143" s="88" t="s">
        <v>578</v>
      </c>
      <c r="AZ143" s="74" t="s">
        <v>320</v>
      </c>
      <c r="BA143" s="92">
        <v>3</v>
      </c>
      <c r="BB143" s="92">
        <v>1</v>
      </c>
      <c r="BC143" s="71" t="s">
        <v>221</v>
      </c>
      <c r="BD143" s="74">
        <v>60</v>
      </c>
      <c r="BE143" s="74">
        <v>50</v>
      </c>
      <c r="BF143" s="74"/>
      <c r="BG143" s="111">
        <v>6000</v>
      </c>
      <c r="BH143" s="74" t="s">
        <v>223</v>
      </c>
      <c r="BI143" s="96">
        <f t="shared" si="15"/>
        <v>42857.142857142855</v>
      </c>
      <c r="BJ143" s="111">
        <v>750</v>
      </c>
      <c r="BK143" s="111"/>
      <c r="BL143" s="74">
        <v>3</v>
      </c>
      <c r="BM143" s="74">
        <v>1.02</v>
      </c>
      <c r="BN143" s="74" t="s">
        <v>222</v>
      </c>
      <c r="BO143" s="75" t="s">
        <v>266</v>
      </c>
      <c r="BP143" s="75" t="s">
        <v>266</v>
      </c>
      <c r="BQ143" s="104" t="s">
        <v>579</v>
      </c>
      <c r="BR143" s="104" t="s">
        <v>580</v>
      </c>
      <c r="BS143" s="71">
        <f>AD143/100*(47)*17.99</f>
        <v>51397.654875</v>
      </c>
      <c r="BT143" s="71">
        <f>AD143/100*(53)*35.98</f>
        <v>115918.11525</v>
      </c>
      <c r="BU143" s="71">
        <v>16589.410425000002</v>
      </c>
      <c r="BV143" s="96">
        <f t="shared" si="12"/>
        <v>183905.18055000002</v>
      </c>
      <c r="BW143" s="101">
        <f>BM143*(1-0.25)*(1-0.21)*(1-0.25)*1.2</f>
        <v>0.54391500000000004</v>
      </c>
      <c r="BX143" s="101">
        <f>SUBTOTAL(9,BM143,BW143)</f>
        <v>1.5639150000000002</v>
      </c>
      <c r="BY143" s="28"/>
      <c r="BZ143" s="28"/>
      <c r="CA143" s="28"/>
      <c r="CB143" s="28"/>
      <c r="CC143" s="28"/>
      <c r="CD143" s="28"/>
    </row>
    <row r="144" spans="1:82" customFormat="1" ht="30" x14ac:dyDescent="0.25">
      <c r="A144" s="18" t="s">
        <v>170</v>
      </c>
      <c r="B144" s="5">
        <v>2331</v>
      </c>
      <c r="C144" s="8" t="s">
        <v>4</v>
      </c>
      <c r="D144" s="8" t="s">
        <v>5</v>
      </c>
      <c r="E144" s="76" t="s">
        <v>137</v>
      </c>
      <c r="F144" s="94"/>
      <c r="G144" s="77" t="s">
        <v>6</v>
      </c>
      <c r="H144" s="77" t="s">
        <v>6</v>
      </c>
      <c r="I144" s="8" t="s">
        <v>7</v>
      </c>
      <c r="J144" s="74" t="s">
        <v>7</v>
      </c>
      <c r="K144" s="74" t="s">
        <v>526</v>
      </c>
      <c r="L144" s="90" t="s">
        <v>599</v>
      </c>
      <c r="M144" s="81" t="s">
        <v>437</v>
      </c>
      <c r="N144" s="74" t="s">
        <v>6</v>
      </c>
      <c r="O144" s="74" t="s">
        <v>221</v>
      </c>
      <c r="P144" s="74" t="s">
        <v>221</v>
      </c>
      <c r="Q144" s="81">
        <v>5000</v>
      </c>
      <c r="R144" s="74" t="s">
        <v>223</v>
      </c>
      <c r="S144" s="79">
        <f t="shared" si="13"/>
        <v>-0.3</v>
      </c>
      <c r="T144" s="80">
        <f t="shared" si="14"/>
        <v>5000</v>
      </c>
      <c r="U144" s="81"/>
      <c r="V144" s="81"/>
      <c r="W144" s="81"/>
      <c r="X144" s="81"/>
      <c r="Y144" s="81"/>
      <c r="Z144" s="81"/>
      <c r="AA144" s="81">
        <v>6500</v>
      </c>
      <c r="AB144" s="80">
        <v>4000</v>
      </c>
      <c r="AC144" s="80" t="s">
        <v>223</v>
      </c>
      <c r="AD144" s="80">
        <f>Q144/100*75</f>
        <v>3750</v>
      </c>
      <c r="AE144" s="86">
        <v>1000</v>
      </c>
      <c r="AF144" s="80" t="s">
        <v>223</v>
      </c>
      <c r="AG144" s="81" t="s">
        <v>221</v>
      </c>
      <c r="AH144" s="86" t="s">
        <v>438</v>
      </c>
      <c r="AI144" s="86">
        <v>1000</v>
      </c>
      <c r="AJ144" s="80" t="s">
        <v>223</v>
      </c>
      <c r="AK144" s="80">
        <v>0</v>
      </c>
      <c r="AL144" s="86">
        <v>0</v>
      </c>
      <c r="AM144" s="86">
        <v>40</v>
      </c>
      <c r="AN144" s="80" t="s">
        <v>223</v>
      </c>
      <c r="AO144" s="91">
        <v>0</v>
      </c>
      <c r="AP144" s="86">
        <v>0</v>
      </c>
      <c r="AQ144" s="80" t="s">
        <v>222</v>
      </c>
      <c r="AR144" s="91">
        <v>0</v>
      </c>
      <c r="AS144" s="86">
        <v>0</v>
      </c>
      <c r="AT144" s="80" t="s">
        <v>222</v>
      </c>
      <c r="AU144" s="80" t="s">
        <v>6</v>
      </c>
      <c r="AV144" s="80" t="s">
        <v>6</v>
      </c>
      <c r="AW144" s="86" t="s">
        <v>281</v>
      </c>
      <c r="AX144" s="80" t="s">
        <v>221</v>
      </c>
      <c r="AY144" s="88" t="s">
        <v>266</v>
      </c>
      <c r="AZ144" s="74" t="s">
        <v>221</v>
      </c>
      <c r="BA144" s="92" t="s">
        <v>266</v>
      </c>
      <c r="BB144" s="92" t="s">
        <v>266</v>
      </c>
      <c r="BC144" s="71" t="s">
        <v>221</v>
      </c>
      <c r="BD144" s="74">
        <v>20</v>
      </c>
      <c r="BE144" s="74"/>
      <c r="BF144" s="74">
        <v>25</v>
      </c>
      <c r="BG144" s="111">
        <v>2000</v>
      </c>
      <c r="BH144" s="74" t="s">
        <v>222</v>
      </c>
      <c r="BI144" s="96">
        <f t="shared" si="15"/>
        <v>14285.714285714286</v>
      </c>
      <c r="BJ144" s="111"/>
      <c r="BK144" s="111">
        <v>2917</v>
      </c>
      <c r="BL144" s="74">
        <v>0</v>
      </c>
      <c r="BM144" s="74">
        <v>0</v>
      </c>
      <c r="BN144" s="74" t="s">
        <v>222</v>
      </c>
      <c r="BO144" s="74">
        <v>0</v>
      </c>
      <c r="BP144" s="74">
        <v>0</v>
      </c>
      <c r="BQ144" s="107" t="s">
        <v>439</v>
      </c>
      <c r="BR144" s="107" t="s">
        <v>440</v>
      </c>
      <c r="BS144" s="71">
        <f>AD144/100*(47)*14.08</f>
        <v>24816</v>
      </c>
      <c r="BT144" s="71">
        <f>AD144/100*(53)*28.16</f>
        <v>55968</v>
      </c>
      <c r="BU144" s="71">
        <v>6729.9574999999995</v>
      </c>
      <c r="BV144" s="96">
        <f t="shared" si="12"/>
        <v>87513.957500000004</v>
      </c>
      <c r="BW144" s="101">
        <f>BM144*(1-0.25)*(1-0.21)*(1-0.25)*1.2</f>
        <v>0</v>
      </c>
      <c r="BX144" s="101">
        <f>SUBTOTAL(9,BM144,BW144)</f>
        <v>0</v>
      </c>
    </row>
    <row r="145" spans="1:89" customFormat="1" ht="45" customHeight="1" x14ac:dyDescent="0.25">
      <c r="A145" s="110" t="s">
        <v>26</v>
      </c>
      <c r="B145" s="5">
        <v>574</v>
      </c>
      <c r="C145" s="8" t="s">
        <v>4</v>
      </c>
      <c r="D145" s="8" t="s">
        <v>5</v>
      </c>
      <c r="E145" s="95" t="s">
        <v>25</v>
      </c>
      <c r="F145" s="78"/>
      <c r="G145" s="77" t="s">
        <v>6</v>
      </c>
      <c r="H145" s="77" t="s">
        <v>6</v>
      </c>
      <c r="I145" s="8" t="s">
        <v>7</v>
      </c>
      <c r="J145" s="74" t="s">
        <v>7</v>
      </c>
      <c r="K145" s="74" t="s">
        <v>527</v>
      </c>
      <c r="L145" s="90" t="s">
        <v>599</v>
      </c>
      <c r="M145" s="81">
        <v>2221</v>
      </c>
      <c r="N145" s="75" t="s">
        <v>6</v>
      </c>
      <c r="O145" s="75" t="s">
        <v>221</v>
      </c>
      <c r="P145" s="75" t="s">
        <v>221</v>
      </c>
      <c r="Q145" s="81">
        <v>25474</v>
      </c>
      <c r="R145" s="74" t="s">
        <v>222</v>
      </c>
      <c r="S145" s="79">
        <f t="shared" si="13"/>
        <v>6.779461411635393E-2</v>
      </c>
      <c r="T145" s="80">
        <f t="shared" si="14"/>
        <v>25474</v>
      </c>
      <c r="U145" s="81">
        <v>15892</v>
      </c>
      <c r="V145" s="81">
        <v>14545</v>
      </c>
      <c r="W145" s="81">
        <v>17777</v>
      </c>
      <c r="X145" s="81">
        <v>18110</v>
      </c>
      <c r="Y145" s="81">
        <v>15406</v>
      </c>
      <c r="Z145" s="81">
        <v>17937</v>
      </c>
      <c r="AA145" s="81">
        <v>23747</v>
      </c>
      <c r="AB145" s="80">
        <v>22417</v>
      </c>
      <c r="AC145" s="80" t="s">
        <v>223</v>
      </c>
      <c r="AD145" s="80">
        <f>Q145/100*69</f>
        <v>17577.060000000001</v>
      </c>
      <c r="AE145" s="86">
        <v>3057</v>
      </c>
      <c r="AF145" s="80" t="s">
        <v>223</v>
      </c>
      <c r="AG145" s="81" t="s">
        <v>75</v>
      </c>
      <c r="AH145" s="86">
        <v>37</v>
      </c>
      <c r="AI145" s="86">
        <v>934</v>
      </c>
      <c r="AJ145" s="80" t="s">
        <v>223</v>
      </c>
      <c r="AK145" s="80">
        <v>1</v>
      </c>
      <c r="AL145" s="86">
        <v>100</v>
      </c>
      <c r="AM145" s="86">
        <v>22</v>
      </c>
      <c r="AN145" s="80" t="s">
        <v>223</v>
      </c>
      <c r="AO145" s="75">
        <v>3</v>
      </c>
      <c r="AP145" s="86">
        <v>115</v>
      </c>
      <c r="AQ145" s="80" t="s">
        <v>223</v>
      </c>
      <c r="AR145" s="75">
        <v>15</v>
      </c>
      <c r="AS145" s="86">
        <v>411</v>
      </c>
      <c r="AT145" s="80" t="s">
        <v>223</v>
      </c>
      <c r="AU145" s="80" t="s">
        <v>6</v>
      </c>
      <c r="AV145" s="80" t="s">
        <v>6</v>
      </c>
      <c r="AW145" s="86" t="s">
        <v>432</v>
      </c>
      <c r="AX145" s="80" t="s">
        <v>6</v>
      </c>
      <c r="AY145" s="88">
        <v>3592</v>
      </c>
      <c r="AZ145" s="75" t="s">
        <v>6</v>
      </c>
      <c r="BA145" s="92">
        <v>4.5</v>
      </c>
      <c r="BB145" s="92" t="s">
        <v>644</v>
      </c>
      <c r="BC145" s="71" t="s">
        <v>221</v>
      </c>
      <c r="BD145" s="74">
        <v>25</v>
      </c>
      <c r="BE145" s="74">
        <v>25</v>
      </c>
      <c r="BF145" s="74">
        <v>45</v>
      </c>
      <c r="BG145" s="111">
        <v>320</v>
      </c>
      <c r="BH145" s="74" t="s">
        <v>223</v>
      </c>
      <c r="BI145" s="96">
        <f t="shared" si="15"/>
        <v>2285.7142857142858</v>
      </c>
      <c r="BJ145" s="111">
        <v>4000</v>
      </c>
      <c r="BK145" s="111">
        <v>2500</v>
      </c>
      <c r="BL145" s="74">
        <v>9</v>
      </c>
      <c r="BM145" s="74">
        <v>3.9</v>
      </c>
      <c r="BN145" s="74" t="s">
        <v>222</v>
      </c>
      <c r="BO145" s="74">
        <v>9</v>
      </c>
      <c r="BP145" s="74">
        <v>3.7</v>
      </c>
      <c r="BQ145" s="106" t="s">
        <v>75</v>
      </c>
      <c r="BR145" s="106" t="s">
        <v>75</v>
      </c>
      <c r="BS145" s="71">
        <f>AD145/100*(44)*17.99</f>
        <v>139132.97613599998</v>
      </c>
      <c r="BT145" s="71">
        <f>AD145/100*(56)*35.98</f>
        <v>354156.66652799997</v>
      </c>
      <c r="BU145" s="71">
        <v>97728.797750000012</v>
      </c>
      <c r="BV145" s="96">
        <f t="shared" si="12"/>
        <v>591018.44041399995</v>
      </c>
      <c r="BW145" s="102">
        <f>BM145*(1-0.25)*(1-0.26)*(1-0.25)*1.2</f>
        <v>1.9480499999999996</v>
      </c>
      <c r="BX145" s="102">
        <f>SUBTOTAL(9,BM145,BW145)</f>
        <v>5.8480499999999997</v>
      </c>
    </row>
    <row r="146" spans="1:89" customFormat="1" ht="240" x14ac:dyDescent="0.25">
      <c r="A146" s="110" t="s">
        <v>119</v>
      </c>
      <c r="B146" s="5">
        <v>723</v>
      </c>
      <c r="C146" s="8" t="s">
        <v>4</v>
      </c>
      <c r="D146" s="8" t="s">
        <v>5</v>
      </c>
      <c r="E146" s="8" t="s">
        <v>109</v>
      </c>
      <c r="F146" s="8"/>
      <c r="G146" s="77" t="s">
        <v>214</v>
      </c>
      <c r="H146" s="77" t="s">
        <v>6</v>
      </c>
      <c r="I146" s="8" t="s">
        <v>9</v>
      </c>
      <c r="J146" s="74" t="s">
        <v>9</v>
      </c>
      <c r="K146" s="74" t="s">
        <v>527</v>
      </c>
      <c r="L146" s="90" t="s">
        <v>599</v>
      </c>
      <c r="M146" s="81">
        <v>363</v>
      </c>
      <c r="N146" s="74" t="s">
        <v>6</v>
      </c>
      <c r="O146" s="74" t="s">
        <v>6</v>
      </c>
      <c r="P146" s="74" t="s">
        <v>221</v>
      </c>
      <c r="Q146" s="81">
        <v>18780</v>
      </c>
      <c r="R146" s="74" t="s">
        <v>223</v>
      </c>
      <c r="S146" s="79">
        <f t="shared" si="13"/>
        <v>0.29467518636847712</v>
      </c>
      <c r="T146" s="80">
        <f t="shared" si="14"/>
        <v>18780</v>
      </c>
      <c r="U146" s="81">
        <v>31712</v>
      </c>
      <c r="V146" s="81">
        <v>31136</v>
      </c>
      <c r="W146" s="81">
        <v>19590</v>
      </c>
      <c r="X146" s="81">
        <v>16077</v>
      </c>
      <c r="Y146" s="81"/>
      <c r="Z146" s="81"/>
      <c r="AA146" s="81">
        <v>13246</v>
      </c>
      <c r="AB146" s="80">
        <v>10474</v>
      </c>
      <c r="AC146" s="80" t="s">
        <v>222</v>
      </c>
      <c r="AD146" s="80">
        <f>Q146/100*69</f>
        <v>12958.2</v>
      </c>
      <c r="AE146" s="86">
        <v>8306</v>
      </c>
      <c r="AF146" s="80" t="s">
        <v>222</v>
      </c>
      <c r="AG146" s="81" t="s">
        <v>441</v>
      </c>
      <c r="AH146" s="86">
        <v>1</v>
      </c>
      <c r="AI146" s="86">
        <v>20</v>
      </c>
      <c r="AJ146" s="80" t="s">
        <v>222</v>
      </c>
      <c r="AK146" s="80">
        <v>33</v>
      </c>
      <c r="AL146" s="86">
        <v>822</v>
      </c>
      <c r="AM146" s="86" t="s">
        <v>75</v>
      </c>
      <c r="AN146" s="80" t="s">
        <v>222</v>
      </c>
      <c r="AO146" s="74">
        <v>143</v>
      </c>
      <c r="AP146" s="86">
        <v>3317</v>
      </c>
      <c r="AQ146" s="80" t="s">
        <v>222</v>
      </c>
      <c r="AR146" s="74">
        <v>7</v>
      </c>
      <c r="AS146" s="86">
        <v>1114</v>
      </c>
      <c r="AT146" s="80" t="s">
        <v>222</v>
      </c>
      <c r="AU146" s="80" t="s">
        <v>221</v>
      </c>
      <c r="AV146" s="80" t="s">
        <v>221</v>
      </c>
      <c r="AW146" s="86" t="s">
        <v>442</v>
      </c>
      <c r="AX146" s="80" t="s">
        <v>6</v>
      </c>
      <c r="AY146" s="88">
        <v>1868</v>
      </c>
      <c r="AZ146" s="74" t="s">
        <v>221</v>
      </c>
      <c r="BA146" s="92" t="s">
        <v>266</v>
      </c>
      <c r="BB146" s="92" t="s">
        <v>266</v>
      </c>
      <c r="BC146" s="71" t="s">
        <v>221</v>
      </c>
      <c r="BD146" s="74">
        <v>28</v>
      </c>
      <c r="BE146" s="74"/>
      <c r="BF146" s="74">
        <v>23</v>
      </c>
      <c r="BG146" s="111">
        <v>1980.65</v>
      </c>
      <c r="BH146" s="74" t="s">
        <v>223</v>
      </c>
      <c r="BI146" s="96">
        <f t="shared" si="15"/>
        <v>14147.5</v>
      </c>
      <c r="BJ146" s="111"/>
      <c r="BK146" s="111">
        <v>2228</v>
      </c>
      <c r="BL146" s="74">
        <v>9</v>
      </c>
      <c r="BM146" s="74">
        <v>3.44</v>
      </c>
      <c r="BN146" s="74" t="s">
        <v>222</v>
      </c>
      <c r="BO146" s="74">
        <v>10</v>
      </c>
      <c r="BP146" s="74">
        <v>3.2</v>
      </c>
      <c r="BQ146" s="104" t="s">
        <v>678</v>
      </c>
      <c r="BR146" s="104" t="s">
        <v>443</v>
      </c>
      <c r="BS146" s="71">
        <f>AD146/100*(44)*11.29</f>
        <v>64371.154319999994</v>
      </c>
      <c r="BT146" s="71">
        <f>AD146/100*(56)*22.59</f>
        <v>163926.41327999998</v>
      </c>
      <c r="BU146" s="71">
        <v>308044.881375</v>
      </c>
      <c r="BV146" s="96">
        <f t="shared" si="12"/>
        <v>536342.44897499995</v>
      </c>
      <c r="BW146" s="101">
        <f>BM146*(1-0.25)*(1-0.26)*(1-0.25)*1.2</f>
        <v>1.7182799999999998</v>
      </c>
      <c r="BX146" s="101">
        <f>SUBTOTAL(9,BM146,BW146)</f>
        <v>5.1582799999999995</v>
      </c>
    </row>
    <row r="147" spans="1:89" customFormat="1" ht="45" customHeight="1" x14ac:dyDescent="0.25">
      <c r="A147" s="18" t="s">
        <v>15</v>
      </c>
      <c r="B147" s="5">
        <v>661</v>
      </c>
      <c r="C147" s="8" t="s">
        <v>4</v>
      </c>
      <c r="D147" s="8" t="s">
        <v>5</v>
      </c>
      <c r="E147" s="8" t="s">
        <v>11</v>
      </c>
      <c r="F147" s="8" t="s">
        <v>16</v>
      </c>
      <c r="G147" s="77" t="s">
        <v>214</v>
      </c>
      <c r="H147" s="77" t="s">
        <v>6</v>
      </c>
      <c r="I147" s="8" t="s">
        <v>7</v>
      </c>
      <c r="J147" s="74" t="s">
        <v>7</v>
      </c>
      <c r="K147" s="74" t="s">
        <v>529</v>
      </c>
      <c r="L147" s="90" t="s">
        <v>599</v>
      </c>
      <c r="M147" s="81">
        <v>2437</v>
      </c>
      <c r="N147" s="74" t="s">
        <v>6</v>
      </c>
      <c r="O147" s="74" t="s">
        <v>6</v>
      </c>
      <c r="P147" s="74" t="s">
        <v>221</v>
      </c>
      <c r="Q147" s="81">
        <v>205129</v>
      </c>
      <c r="R147" s="74" t="s">
        <v>222</v>
      </c>
      <c r="S147" s="79">
        <f t="shared" si="13"/>
        <v>-4.2704834518766242E-2</v>
      </c>
      <c r="T147" s="80">
        <f t="shared" si="14"/>
        <v>205129</v>
      </c>
      <c r="U147" s="81"/>
      <c r="V147" s="81"/>
      <c r="W147" s="81">
        <v>202700</v>
      </c>
      <c r="X147" s="81">
        <v>211838</v>
      </c>
      <c r="Y147" s="81">
        <v>195161</v>
      </c>
      <c r="Z147" s="81">
        <v>202873</v>
      </c>
      <c r="AA147" s="81">
        <v>213889</v>
      </c>
      <c r="AB147" s="80">
        <v>118947</v>
      </c>
      <c r="AC147" s="80" t="s">
        <v>222</v>
      </c>
      <c r="AD147" s="80">
        <f>Q147/100*68</f>
        <v>139487.72</v>
      </c>
      <c r="AE147" s="86">
        <v>86182</v>
      </c>
      <c r="AF147" s="80" t="s">
        <v>222</v>
      </c>
      <c r="AG147" s="81" t="s">
        <v>75</v>
      </c>
      <c r="AH147" s="86">
        <v>151</v>
      </c>
      <c r="AI147" s="86">
        <v>5408</v>
      </c>
      <c r="AJ147" s="80" t="s">
        <v>222</v>
      </c>
      <c r="AK147" s="80">
        <v>64</v>
      </c>
      <c r="AL147" s="86">
        <v>3352</v>
      </c>
      <c r="AM147" s="86">
        <v>103</v>
      </c>
      <c r="AN147" s="80" t="s">
        <v>222</v>
      </c>
      <c r="AO147" s="74" t="s">
        <v>266</v>
      </c>
      <c r="AP147" s="86" t="s">
        <v>266</v>
      </c>
      <c r="AQ147" s="80" t="s">
        <v>75</v>
      </c>
      <c r="AR147" s="74" t="s">
        <v>266</v>
      </c>
      <c r="AS147" s="86" t="s">
        <v>266</v>
      </c>
      <c r="AT147" s="80" t="s">
        <v>75</v>
      </c>
      <c r="AU147" s="80" t="s">
        <v>6</v>
      </c>
      <c r="AV147" s="80" t="s">
        <v>6</v>
      </c>
      <c r="AW147" s="86">
        <v>401488</v>
      </c>
      <c r="AX147" s="80" t="s">
        <v>6</v>
      </c>
      <c r="AY147" s="88" t="s">
        <v>444</v>
      </c>
      <c r="AZ147" s="74" t="s">
        <v>320</v>
      </c>
      <c r="BA147" s="92" t="s">
        <v>75</v>
      </c>
      <c r="BB147" s="92" t="s">
        <v>75</v>
      </c>
      <c r="BC147" s="71" t="s">
        <v>221</v>
      </c>
      <c r="BD147" s="74">
        <v>55</v>
      </c>
      <c r="BE147" s="74" t="s">
        <v>618</v>
      </c>
      <c r="BF147" s="74">
        <v>21</v>
      </c>
      <c r="BG147" s="111">
        <v>331.5</v>
      </c>
      <c r="BH147" s="74" t="s">
        <v>222</v>
      </c>
      <c r="BI147" s="96">
        <f t="shared" si="15"/>
        <v>2367.8571428571427</v>
      </c>
      <c r="BJ147" s="111" t="s">
        <v>618</v>
      </c>
      <c r="BK147" s="111">
        <v>1805.5</v>
      </c>
      <c r="BL147" s="74">
        <v>37</v>
      </c>
      <c r="BM147" s="74">
        <v>22</v>
      </c>
      <c r="BN147" s="74" t="s">
        <v>223</v>
      </c>
      <c r="BO147" s="74">
        <v>50</v>
      </c>
      <c r="BP147" s="74">
        <v>27</v>
      </c>
      <c r="BQ147" s="104" t="s">
        <v>75</v>
      </c>
      <c r="BR147" s="104" t="s">
        <v>75</v>
      </c>
      <c r="BS147" s="71">
        <f>AD147/100*(31)*8.9</f>
        <v>384846.61947999994</v>
      </c>
      <c r="BT147" s="71">
        <f>AD147/100*(69)*17.79</f>
        <v>1712225.7117719997</v>
      </c>
      <c r="BU147" s="71">
        <v>103882.214375</v>
      </c>
      <c r="BV147" s="96">
        <f t="shared" si="12"/>
        <v>2200954.5456269998</v>
      </c>
      <c r="BW147" s="101">
        <f>BM147*(1-0.25)*(1-0.25)*(1-0.375)*1.2</f>
        <v>9.28125</v>
      </c>
      <c r="BX147" s="101">
        <f>SUBTOTAL(9,BM147,BW147)</f>
        <v>31.28125</v>
      </c>
    </row>
    <row r="148" spans="1:89" customFormat="1" ht="45" customHeight="1" x14ac:dyDescent="0.25">
      <c r="A148" s="18" t="s">
        <v>107</v>
      </c>
      <c r="B148" s="5"/>
      <c r="C148" s="8" t="s">
        <v>105</v>
      </c>
      <c r="D148" s="8" t="s">
        <v>5</v>
      </c>
      <c r="E148" s="8" t="s">
        <v>68</v>
      </c>
      <c r="F148" s="8"/>
      <c r="G148" s="77" t="s">
        <v>214</v>
      </c>
      <c r="H148" s="77"/>
      <c r="I148" s="8" t="s">
        <v>7</v>
      </c>
      <c r="J148" s="74" t="s">
        <v>7</v>
      </c>
      <c r="K148" s="74" t="s">
        <v>527</v>
      </c>
      <c r="L148" s="90" t="s">
        <v>599</v>
      </c>
      <c r="M148" s="81">
        <v>1464</v>
      </c>
      <c r="N148" s="74" t="s">
        <v>6</v>
      </c>
      <c r="O148" s="74" t="s">
        <v>6</v>
      </c>
      <c r="P148" s="74" t="s">
        <v>221</v>
      </c>
      <c r="Q148" s="81">
        <v>13487</v>
      </c>
      <c r="R148" s="74" t="s">
        <v>222</v>
      </c>
      <c r="S148" s="79"/>
      <c r="T148" s="80">
        <f t="shared" si="14"/>
        <v>13487</v>
      </c>
      <c r="U148" s="81"/>
      <c r="V148" s="81"/>
      <c r="W148" s="81"/>
      <c r="X148" s="81"/>
      <c r="Y148" s="81"/>
      <c r="Z148" s="81"/>
      <c r="AA148" s="81"/>
      <c r="AB148" s="80">
        <v>11806</v>
      </c>
      <c r="AC148" s="80" t="s">
        <v>223</v>
      </c>
      <c r="AD148" s="80">
        <f>Q148/100*69</f>
        <v>9306.0300000000007</v>
      </c>
      <c r="AE148" s="86">
        <v>1681</v>
      </c>
      <c r="AF148" s="80" t="s">
        <v>222</v>
      </c>
      <c r="AG148" s="81" t="s">
        <v>445</v>
      </c>
      <c r="AH148" s="86">
        <v>0</v>
      </c>
      <c r="AI148" s="86" t="s">
        <v>75</v>
      </c>
      <c r="AJ148" s="80" t="s">
        <v>222</v>
      </c>
      <c r="AK148" s="80">
        <v>0</v>
      </c>
      <c r="AL148" s="86" t="s">
        <v>75</v>
      </c>
      <c r="AM148" s="86">
        <v>2</v>
      </c>
      <c r="AN148" s="80" t="s">
        <v>222</v>
      </c>
      <c r="AO148" s="74">
        <v>20</v>
      </c>
      <c r="AP148" s="86">
        <v>2100</v>
      </c>
      <c r="AQ148" s="80" t="s">
        <v>223</v>
      </c>
      <c r="AR148" s="74">
        <v>0</v>
      </c>
      <c r="AS148" s="86" t="s">
        <v>75</v>
      </c>
      <c r="AT148" s="80" t="s">
        <v>222</v>
      </c>
      <c r="AU148" s="80" t="s">
        <v>6</v>
      </c>
      <c r="AV148" s="80" t="s">
        <v>6</v>
      </c>
      <c r="AW148" s="86" t="s">
        <v>75</v>
      </c>
      <c r="AX148" s="80" t="s">
        <v>6</v>
      </c>
      <c r="AY148" s="88">
        <v>3000</v>
      </c>
      <c r="AZ148" s="74" t="s">
        <v>6</v>
      </c>
      <c r="BA148" s="92">
        <v>8</v>
      </c>
      <c r="BB148" s="92" t="s">
        <v>644</v>
      </c>
      <c r="BC148" s="71" t="s">
        <v>221</v>
      </c>
      <c r="BD148" s="74">
        <v>151</v>
      </c>
      <c r="BE148" s="74"/>
      <c r="BF148" s="74"/>
      <c r="BG148" s="111">
        <v>5400</v>
      </c>
      <c r="BH148" s="74" t="s">
        <v>223</v>
      </c>
      <c r="BI148" s="96">
        <f t="shared" si="15"/>
        <v>38571.428571428572</v>
      </c>
      <c r="BJ148" s="111"/>
      <c r="BK148" s="111"/>
      <c r="BL148" s="74">
        <v>5</v>
      </c>
      <c r="BM148" s="74">
        <v>2</v>
      </c>
      <c r="BN148" s="74" t="s">
        <v>222</v>
      </c>
      <c r="BO148" s="74"/>
      <c r="BP148" s="74"/>
      <c r="BQ148" s="104" t="s">
        <v>75</v>
      </c>
      <c r="BR148" s="104" t="s">
        <v>75</v>
      </c>
      <c r="BS148" s="71">
        <f>AD148/100*(44)*12.91</f>
        <v>52861.972812000007</v>
      </c>
      <c r="BT148" s="71">
        <f>AD148/100*(56)*25.82</f>
        <v>134557.74897600003</v>
      </c>
      <c r="BU148" s="71"/>
      <c r="BV148" s="96">
        <f t="shared" si="12"/>
        <v>187419.72178800002</v>
      </c>
      <c r="BW148" s="101">
        <f>BM148*(1-0.25)*(1-0.26)*(1-0.25)*1.2</f>
        <v>0.99899999999999989</v>
      </c>
      <c r="BX148" s="101">
        <f>SUBTOTAL(9,BM148,BW148)</f>
        <v>2.9989999999999997</v>
      </c>
    </row>
    <row r="149" spans="1:89" customFormat="1" ht="45" customHeight="1" x14ac:dyDescent="0.25">
      <c r="A149" s="110" t="s">
        <v>142</v>
      </c>
      <c r="B149" s="5">
        <v>734</v>
      </c>
      <c r="C149" s="8" t="s">
        <v>4</v>
      </c>
      <c r="D149" s="8" t="s">
        <v>5</v>
      </c>
      <c r="E149" s="76" t="s">
        <v>137</v>
      </c>
      <c r="F149" s="94" t="s">
        <v>141</v>
      </c>
      <c r="G149" s="77" t="s">
        <v>214</v>
      </c>
      <c r="H149" s="77" t="s">
        <v>6</v>
      </c>
      <c r="I149" s="8" t="s">
        <v>9</v>
      </c>
      <c r="J149" s="75" t="s">
        <v>9</v>
      </c>
      <c r="K149" s="75" t="s">
        <v>526</v>
      </c>
      <c r="L149" s="122" t="s">
        <v>599</v>
      </c>
      <c r="M149" s="81" t="s">
        <v>550</v>
      </c>
      <c r="N149" s="75" t="s">
        <v>221</v>
      </c>
      <c r="O149" s="75" t="s">
        <v>221</v>
      </c>
      <c r="P149" s="75" t="s">
        <v>221</v>
      </c>
      <c r="Q149" s="81">
        <v>9735</v>
      </c>
      <c r="R149" s="74" t="s">
        <v>75</v>
      </c>
      <c r="S149" s="79">
        <f>(Q149-AA149)/Q149</f>
        <v>2.4036979969183359E-2</v>
      </c>
      <c r="T149" s="80">
        <f t="shared" si="14"/>
        <v>9735</v>
      </c>
      <c r="U149" s="81">
        <v>8595</v>
      </c>
      <c r="V149" s="81">
        <v>11088</v>
      </c>
      <c r="W149" s="81">
        <v>9569</v>
      </c>
      <c r="X149" s="81">
        <v>9669</v>
      </c>
      <c r="Y149" s="81">
        <v>8902</v>
      </c>
      <c r="Z149" s="81">
        <v>11170</v>
      </c>
      <c r="AA149" s="81">
        <v>9501</v>
      </c>
      <c r="AB149" s="80">
        <v>6439</v>
      </c>
      <c r="AC149" s="80" t="s">
        <v>75</v>
      </c>
      <c r="AD149" s="80">
        <f>Q149/100*75</f>
        <v>7301.25</v>
      </c>
      <c r="AE149" s="86">
        <v>3307</v>
      </c>
      <c r="AF149" s="80" t="s">
        <v>75</v>
      </c>
      <c r="AG149" s="81" t="s">
        <v>221</v>
      </c>
      <c r="AH149" s="86">
        <v>28</v>
      </c>
      <c r="AI149" s="86">
        <v>869</v>
      </c>
      <c r="AJ149" s="80" t="s">
        <v>75</v>
      </c>
      <c r="AK149" s="80">
        <v>0</v>
      </c>
      <c r="AL149" s="86">
        <v>0</v>
      </c>
      <c r="AM149" s="86">
        <v>0</v>
      </c>
      <c r="AN149" s="80" t="s">
        <v>75</v>
      </c>
      <c r="AO149" s="75" t="s">
        <v>75</v>
      </c>
      <c r="AP149" s="86" t="s">
        <v>75</v>
      </c>
      <c r="AQ149" s="80" t="s">
        <v>75</v>
      </c>
      <c r="AR149" s="75" t="s">
        <v>75</v>
      </c>
      <c r="AS149" s="86" t="s">
        <v>75</v>
      </c>
      <c r="AT149" s="80" t="s">
        <v>75</v>
      </c>
      <c r="AU149" s="80" t="s">
        <v>6</v>
      </c>
      <c r="AV149" s="80" t="s">
        <v>75</v>
      </c>
      <c r="AW149" s="86" t="s">
        <v>75</v>
      </c>
      <c r="AX149" s="80" t="s">
        <v>6</v>
      </c>
      <c r="AY149" s="88">
        <v>5262</v>
      </c>
      <c r="AZ149" s="75" t="s">
        <v>6</v>
      </c>
      <c r="BA149" s="92">
        <v>5</v>
      </c>
      <c r="BB149" s="92">
        <v>4</v>
      </c>
      <c r="BC149" s="71" t="s">
        <v>75</v>
      </c>
      <c r="BD149" s="74" t="s">
        <v>75</v>
      </c>
      <c r="BE149" s="74"/>
      <c r="BF149" s="74" t="s">
        <v>611</v>
      </c>
      <c r="BG149" s="111" t="s">
        <v>75</v>
      </c>
      <c r="BH149" s="74" t="s">
        <v>75</v>
      </c>
      <c r="BI149" s="96"/>
      <c r="BJ149" s="111"/>
      <c r="BK149" s="111" t="s">
        <v>611</v>
      </c>
      <c r="BL149" s="74" t="s">
        <v>75</v>
      </c>
      <c r="BM149" s="74" t="s">
        <v>75</v>
      </c>
      <c r="BN149" s="74" t="s">
        <v>75</v>
      </c>
      <c r="BO149" s="75" t="s">
        <v>611</v>
      </c>
      <c r="BP149" s="75" t="s">
        <v>611</v>
      </c>
      <c r="BQ149" s="106" t="s">
        <v>75</v>
      </c>
      <c r="BR149" s="106" t="s">
        <v>75</v>
      </c>
      <c r="BS149" s="71">
        <f>AD149/100*(47)*14.08</f>
        <v>48316.752</v>
      </c>
      <c r="BT149" s="71">
        <f>AD149/100*(53)*28.16</f>
        <v>108969.69600000001</v>
      </c>
      <c r="BU149" s="71"/>
      <c r="BV149" s="96">
        <f t="shared" si="12"/>
        <v>157286.448</v>
      </c>
      <c r="BW149" s="102"/>
      <c r="BX149" s="102">
        <f>SUBTOTAL(9,BM149,BW149)</f>
        <v>0</v>
      </c>
      <c r="BY149" s="28"/>
    </row>
    <row r="150" spans="1:89" customFormat="1" ht="75" customHeight="1" x14ac:dyDescent="0.25">
      <c r="A150" s="110" t="s">
        <v>209</v>
      </c>
      <c r="B150" s="5">
        <v>2276</v>
      </c>
      <c r="C150" s="8" t="s">
        <v>4</v>
      </c>
      <c r="D150" s="8" t="s">
        <v>5</v>
      </c>
      <c r="E150" s="76" t="s">
        <v>174</v>
      </c>
      <c r="F150" s="76"/>
      <c r="G150" s="77"/>
      <c r="H150" s="77" t="s">
        <v>6</v>
      </c>
      <c r="I150" s="8" t="s">
        <v>7</v>
      </c>
      <c r="J150" s="74"/>
      <c r="K150" s="74"/>
      <c r="L150" s="90"/>
      <c r="M150" s="81"/>
      <c r="N150" s="74"/>
      <c r="O150" s="74"/>
      <c r="P150" s="74"/>
      <c r="Q150" s="81"/>
      <c r="R150" s="72"/>
      <c r="S150" s="79"/>
      <c r="T150" s="80" t="e">
        <f t="shared" si="14"/>
        <v>#DIV/0!</v>
      </c>
      <c r="U150" s="81">
        <v>1277</v>
      </c>
      <c r="V150" s="81">
        <v>1504</v>
      </c>
      <c r="W150" s="81">
        <v>1402</v>
      </c>
      <c r="X150" s="81">
        <v>1212</v>
      </c>
      <c r="Y150" s="81">
        <v>1153</v>
      </c>
      <c r="Z150" s="81">
        <v>1211</v>
      </c>
      <c r="AA150" s="81">
        <v>1348</v>
      </c>
      <c r="AB150" s="80"/>
      <c r="AC150" s="80"/>
      <c r="AD150" s="80">
        <f>Q150/100*77</f>
        <v>0</v>
      </c>
      <c r="AE150" s="86"/>
      <c r="AF150" s="80"/>
      <c r="AG150" s="81"/>
      <c r="AH150" s="86"/>
      <c r="AI150" s="86"/>
      <c r="AJ150" s="80"/>
      <c r="AK150" s="80"/>
      <c r="AL150" s="86"/>
      <c r="AM150" s="86"/>
      <c r="AN150" s="80"/>
      <c r="AO150" s="74"/>
      <c r="AP150" s="86"/>
      <c r="AQ150" s="80"/>
      <c r="AR150" s="74"/>
      <c r="AS150" s="86"/>
      <c r="AT150" s="80"/>
      <c r="AU150" s="80" t="s">
        <v>6</v>
      </c>
      <c r="AV150" s="80"/>
      <c r="AW150" s="86"/>
      <c r="AX150" s="80"/>
      <c r="AY150" s="88"/>
      <c r="AZ150" s="74" t="s">
        <v>295</v>
      </c>
      <c r="BA150" s="92" t="s">
        <v>266</v>
      </c>
      <c r="BB150" s="92" t="s">
        <v>266</v>
      </c>
      <c r="BC150" s="71"/>
      <c r="BD150" s="72"/>
      <c r="BE150" s="72">
        <v>8</v>
      </c>
      <c r="BF150" s="72">
        <v>16</v>
      </c>
      <c r="BG150" s="111"/>
      <c r="BH150" s="72"/>
      <c r="BI150" s="96">
        <f>BG150/7*50</f>
        <v>0</v>
      </c>
      <c r="BJ150" s="111">
        <v>1250</v>
      </c>
      <c r="BK150" s="111">
        <v>912</v>
      </c>
      <c r="BL150" s="72"/>
      <c r="BM150" s="72"/>
      <c r="BN150" s="72"/>
      <c r="BO150" s="74">
        <v>0</v>
      </c>
      <c r="BP150" s="74">
        <v>0</v>
      </c>
      <c r="BQ150" s="104"/>
      <c r="BR150" s="104"/>
      <c r="BS150" s="71"/>
      <c r="BT150" s="71"/>
      <c r="BU150" s="71"/>
      <c r="BV150" s="96">
        <f t="shared" si="12"/>
        <v>0</v>
      </c>
      <c r="BW150" s="101"/>
      <c r="BX150" s="101"/>
    </row>
    <row r="151" spans="1:89" customFormat="1" ht="90" x14ac:dyDescent="0.25">
      <c r="A151" s="110" t="s">
        <v>152</v>
      </c>
      <c r="B151" s="5">
        <v>777</v>
      </c>
      <c r="C151" s="8" t="s">
        <v>4</v>
      </c>
      <c r="D151" s="8" t="s">
        <v>5</v>
      </c>
      <c r="E151" s="76" t="s">
        <v>137</v>
      </c>
      <c r="F151" s="94"/>
      <c r="G151" s="77" t="s">
        <v>6</v>
      </c>
      <c r="H151" s="77" t="s">
        <v>6</v>
      </c>
      <c r="I151" s="8" t="s">
        <v>7</v>
      </c>
      <c r="J151" s="74" t="s">
        <v>7</v>
      </c>
      <c r="K151" s="74" t="s">
        <v>526</v>
      </c>
      <c r="L151" s="90" t="s">
        <v>599</v>
      </c>
      <c r="M151" s="81">
        <v>1518</v>
      </c>
      <c r="N151" s="74" t="s">
        <v>6</v>
      </c>
      <c r="O151" s="74" t="s">
        <v>221</v>
      </c>
      <c r="P151" s="74" t="s">
        <v>221</v>
      </c>
      <c r="Q151" s="81">
        <v>1843</v>
      </c>
      <c r="R151" s="74" t="s">
        <v>222</v>
      </c>
      <c r="S151" s="79">
        <f t="shared" ref="S151:S156" si="16">(Q151-AA151)/Q151</f>
        <v>-3.1470428648941944E-2</v>
      </c>
      <c r="T151" s="80">
        <f t="shared" si="14"/>
        <v>1843</v>
      </c>
      <c r="U151" s="81"/>
      <c r="V151" s="81"/>
      <c r="W151" s="81">
        <v>3000</v>
      </c>
      <c r="X151" s="81"/>
      <c r="Y151" s="81">
        <v>1890</v>
      </c>
      <c r="Z151" s="81">
        <v>2100</v>
      </c>
      <c r="AA151" s="81">
        <v>1901</v>
      </c>
      <c r="AB151" s="80">
        <v>1229</v>
      </c>
      <c r="AC151" s="80" t="s">
        <v>223</v>
      </c>
      <c r="AD151" s="80">
        <f>Q151/100*75</f>
        <v>1382.25</v>
      </c>
      <c r="AE151" s="86">
        <v>614</v>
      </c>
      <c r="AF151" s="80" t="s">
        <v>223</v>
      </c>
      <c r="AG151" s="81" t="s">
        <v>221</v>
      </c>
      <c r="AH151" s="86">
        <v>16</v>
      </c>
      <c r="AI151" s="86">
        <v>497</v>
      </c>
      <c r="AJ151" s="80" t="s">
        <v>222</v>
      </c>
      <c r="AK151" s="80">
        <v>12</v>
      </c>
      <c r="AL151" s="86">
        <v>375</v>
      </c>
      <c r="AM151" s="86">
        <v>27</v>
      </c>
      <c r="AN151" s="80" t="s">
        <v>222</v>
      </c>
      <c r="AO151" s="74">
        <v>4</v>
      </c>
      <c r="AP151" s="86">
        <v>107</v>
      </c>
      <c r="AQ151" s="80" t="s">
        <v>222</v>
      </c>
      <c r="AR151" s="74">
        <v>7</v>
      </c>
      <c r="AS151" s="86">
        <v>256</v>
      </c>
      <c r="AT151" s="80" t="s">
        <v>222</v>
      </c>
      <c r="AU151" s="80" t="s">
        <v>6</v>
      </c>
      <c r="AV151" s="80" t="s">
        <v>221</v>
      </c>
      <c r="AW151" s="86" t="s">
        <v>266</v>
      </c>
      <c r="AX151" s="80" t="s">
        <v>6</v>
      </c>
      <c r="AY151" s="88">
        <v>121</v>
      </c>
      <c r="AZ151" s="74" t="s">
        <v>6</v>
      </c>
      <c r="BA151" s="92">
        <v>3</v>
      </c>
      <c r="BB151" s="92">
        <v>2</v>
      </c>
      <c r="BC151" s="71" t="s">
        <v>221</v>
      </c>
      <c r="BD151" s="74">
        <v>35</v>
      </c>
      <c r="BE151" s="74">
        <v>35</v>
      </c>
      <c r="BF151" s="74">
        <v>35</v>
      </c>
      <c r="BG151" s="111">
        <v>6964</v>
      </c>
      <c r="BH151" s="74" t="s">
        <v>223</v>
      </c>
      <c r="BI151" s="96">
        <f>BG151/7*50</f>
        <v>49742.857142857145</v>
      </c>
      <c r="BJ151" s="111">
        <v>2200</v>
      </c>
      <c r="BK151" s="111">
        <v>5000</v>
      </c>
      <c r="BL151" s="74">
        <v>0</v>
      </c>
      <c r="BM151" s="74">
        <v>0</v>
      </c>
      <c r="BN151" s="74" t="s">
        <v>222</v>
      </c>
      <c r="BO151" s="74">
        <v>0</v>
      </c>
      <c r="BP151" s="74">
        <v>0</v>
      </c>
      <c r="BQ151" s="104" t="s">
        <v>446</v>
      </c>
      <c r="BR151" s="104" t="s">
        <v>447</v>
      </c>
      <c r="BS151" s="71">
        <f>AD151/100*(47)*14.08</f>
        <v>9147.1776000000009</v>
      </c>
      <c r="BT151" s="71">
        <f>AD151/100*(53)*28.16</f>
        <v>20629.804799999998</v>
      </c>
      <c r="BU151" s="71">
        <v>25484.401249999999</v>
      </c>
      <c r="BV151" s="96">
        <f t="shared" si="12"/>
        <v>55261.383650000003</v>
      </c>
      <c r="BW151" s="101">
        <f>BM151*(1-0.25)*(1-0.21)*(1-0.25)*1.2</f>
        <v>0</v>
      </c>
      <c r="BX151" s="101">
        <f>SUBTOTAL(9,BM151,BW151)</f>
        <v>0</v>
      </c>
    </row>
    <row r="152" spans="1:89" customFormat="1" ht="45" customHeight="1" x14ac:dyDescent="0.25">
      <c r="A152" s="18" t="s">
        <v>149</v>
      </c>
      <c r="B152" s="5">
        <v>745</v>
      </c>
      <c r="C152" s="8" t="s">
        <v>4</v>
      </c>
      <c r="D152" s="8" t="s">
        <v>5</v>
      </c>
      <c r="E152" s="76" t="s">
        <v>137</v>
      </c>
      <c r="F152" s="94" t="s">
        <v>141</v>
      </c>
      <c r="G152" s="77" t="s">
        <v>214</v>
      </c>
      <c r="H152" s="77" t="s">
        <v>6</v>
      </c>
      <c r="I152" s="8" t="s">
        <v>9</v>
      </c>
      <c r="J152" s="75" t="s">
        <v>9</v>
      </c>
      <c r="K152" s="75" t="s">
        <v>527</v>
      </c>
      <c r="L152" s="122" t="s">
        <v>599</v>
      </c>
      <c r="M152" s="81" t="s">
        <v>564</v>
      </c>
      <c r="N152" s="74" t="s">
        <v>221</v>
      </c>
      <c r="O152" s="74" t="s">
        <v>221</v>
      </c>
      <c r="P152" s="74" t="s">
        <v>221</v>
      </c>
      <c r="Q152" s="81">
        <v>10409</v>
      </c>
      <c r="R152" s="74" t="s">
        <v>75</v>
      </c>
      <c r="S152" s="79">
        <f t="shared" si="16"/>
        <v>5.6009222787971949E-2</v>
      </c>
      <c r="T152" s="80">
        <f t="shared" si="14"/>
        <v>10409</v>
      </c>
      <c r="U152" s="81"/>
      <c r="V152" s="81"/>
      <c r="W152" s="81">
        <v>8355</v>
      </c>
      <c r="X152" s="81">
        <v>9597</v>
      </c>
      <c r="Y152" s="81">
        <v>8747</v>
      </c>
      <c r="Z152" s="81">
        <v>11441</v>
      </c>
      <c r="AA152" s="81">
        <v>9826</v>
      </c>
      <c r="AB152" s="80">
        <v>6875</v>
      </c>
      <c r="AC152" s="80" t="s">
        <v>75</v>
      </c>
      <c r="AD152" s="80">
        <f>Q152/100*69</f>
        <v>7182.21</v>
      </c>
      <c r="AE152" s="86">
        <v>3534</v>
      </c>
      <c r="AF152" s="80" t="s">
        <v>75</v>
      </c>
      <c r="AG152" s="81" t="s">
        <v>221</v>
      </c>
      <c r="AH152" s="86">
        <v>53</v>
      </c>
      <c r="AI152" s="86">
        <v>2331</v>
      </c>
      <c r="AJ152" s="80" t="s">
        <v>75</v>
      </c>
      <c r="AK152" s="80">
        <v>11</v>
      </c>
      <c r="AL152" s="86">
        <v>2357</v>
      </c>
      <c r="AM152" s="86">
        <v>4</v>
      </c>
      <c r="AN152" s="80" t="s">
        <v>75</v>
      </c>
      <c r="AO152" s="74">
        <v>104</v>
      </c>
      <c r="AP152" s="86">
        <v>2314</v>
      </c>
      <c r="AQ152" s="80" t="s">
        <v>75</v>
      </c>
      <c r="AR152" s="74">
        <v>2</v>
      </c>
      <c r="AS152" s="86">
        <v>173</v>
      </c>
      <c r="AT152" s="80" t="s">
        <v>75</v>
      </c>
      <c r="AU152" s="80" t="s">
        <v>6</v>
      </c>
      <c r="AV152" s="80" t="s">
        <v>75</v>
      </c>
      <c r="AW152" s="86" t="s">
        <v>75</v>
      </c>
      <c r="AX152" s="80" t="s">
        <v>6</v>
      </c>
      <c r="AY152" s="88" t="s">
        <v>565</v>
      </c>
      <c r="AZ152" s="74" t="s">
        <v>6</v>
      </c>
      <c r="BA152" s="92">
        <v>4.3499999999999996</v>
      </c>
      <c r="BB152" s="92">
        <v>3.5</v>
      </c>
      <c r="BC152" s="71" t="s">
        <v>75</v>
      </c>
      <c r="BD152" s="74" t="s">
        <v>75</v>
      </c>
      <c r="BE152" s="74">
        <v>124</v>
      </c>
      <c r="BF152" s="74" t="s">
        <v>611</v>
      </c>
      <c r="BG152" s="111" t="s">
        <v>75</v>
      </c>
      <c r="BH152" s="74" t="s">
        <v>75</v>
      </c>
      <c r="BI152" s="96"/>
      <c r="BJ152" s="111">
        <v>24800</v>
      </c>
      <c r="BK152" s="111" t="s">
        <v>611</v>
      </c>
      <c r="BL152" s="74" t="s">
        <v>75</v>
      </c>
      <c r="BM152" s="74" t="s">
        <v>75</v>
      </c>
      <c r="BN152" s="74" t="s">
        <v>75</v>
      </c>
      <c r="BO152" s="75" t="s">
        <v>611</v>
      </c>
      <c r="BP152" s="75" t="s">
        <v>611</v>
      </c>
      <c r="BQ152" s="104" t="s">
        <v>75</v>
      </c>
      <c r="BR152" s="104" t="s">
        <v>75</v>
      </c>
      <c r="BS152" s="71">
        <f>AD152/100*(44)*14.08</f>
        <v>44495.227392000008</v>
      </c>
      <c r="BT152" s="71">
        <f>AD152/100*(56)*28.16</f>
        <v>113260.57881600002</v>
      </c>
      <c r="BU152" s="71"/>
      <c r="BV152" s="96">
        <f t="shared" si="12"/>
        <v>157755.80620800002</v>
      </c>
      <c r="BW152" s="101"/>
      <c r="BX152" s="101">
        <f>SUBTOTAL(9,BM152,BW152)</f>
        <v>0</v>
      </c>
    </row>
    <row r="153" spans="1:89" customFormat="1" ht="45" customHeight="1" x14ac:dyDescent="0.25">
      <c r="A153" s="110" t="s">
        <v>200</v>
      </c>
      <c r="B153" s="5">
        <v>1936</v>
      </c>
      <c r="C153" s="8" t="s">
        <v>4</v>
      </c>
      <c r="D153" s="8" t="s">
        <v>5</v>
      </c>
      <c r="E153" s="76" t="s">
        <v>174</v>
      </c>
      <c r="F153" s="76"/>
      <c r="G153" s="77" t="s">
        <v>6</v>
      </c>
      <c r="H153" s="77" t="s">
        <v>6</v>
      </c>
      <c r="I153" s="8" t="s">
        <v>7</v>
      </c>
      <c r="J153" s="74"/>
      <c r="K153" s="74" t="s">
        <v>527</v>
      </c>
      <c r="L153" s="90" t="s">
        <v>600</v>
      </c>
      <c r="M153" s="81" t="s">
        <v>639</v>
      </c>
      <c r="N153" s="74" t="s">
        <v>6</v>
      </c>
      <c r="O153" s="74" t="s">
        <v>6</v>
      </c>
      <c r="P153" s="74" t="s">
        <v>221</v>
      </c>
      <c r="Q153" s="81">
        <v>18629</v>
      </c>
      <c r="R153" s="74" t="s">
        <v>222</v>
      </c>
      <c r="S153" s="79">
        <f t="shared" si="16"/>
        <v>-1.3903054377583338E-2</v>
      </c>
      <c r="T153" s="80">
        <f t="shared" si="14"/>
        <v>18629</v>
      </c>
      <c r="U153" s="81">
        <v>17112</v>
      </c>
      <c r="V153" s="81">
        <v>18674</v>
      </c>
      <c r="W153" s="81">
        <v>17801</v>
      </c>
      <c r="X153" s="81">
        <v>16131</v>
      </c>
      <c r="Y153" s="81">
        <v>17334</v>
      </c>
      <c r="Z153" s="81">
        <v>16517</v>
      </c>
      <c r="AA153" s="81">
        <v>18888</v>
      </c>
      <c r="AB153" s="80">
        <v>13707</v>
      </c>
      <c r="AC153" s="80" t="s">
        <v>222</v>
      </c>
      <c r="AD153" s="80">
        <f>Q153/100*69</f>
        <v>12854.01</v>
      </c>
      <c r="AE153" s="86">
        <v>4922</v>
      </c>
      <c r="AF153" s="80" t="s">
        <v>222</v>
      </c>
      <c r="AG153" s="81" t="s">
        <v>75</v>
      </c>
      <c r="AH153" s="86">
        <v>11</v>
      </c>
      <c r="AI153" s="86">
        <v>443</v>
      </c>
      <c r="AJ153" s="80" t="s">
        <v>75</v>
      </c>
      <c r="AK153" s="80">
        <v>0</v>
      </c>
      <c r="AL153" s="86">
        <v>0</v>
      </c>
      <c r="AM153" s="86">
        <v>0</v>
      </c>
      <c r="AN153" s="80" t="s">
        <v>75</v>
      </c>
      <c r="AO153" s="74">
        <v>0</v>
      </c>
      <c r="AP153" s="86">
        <v>0</v>
      </c>
      <c r="AQ153" s="80" t="s">
        <v>75</v>
      </c>
      <c r="AR153" s="74" t="s">
        <v>640</v>
      </c>
      <c r="AS153" s="86" t="s">
        <v>640</v>
      </c>
      <c r="AT153" s="80" t="s">
        <v>75</v>
      </c>
      <c r="AU153" s="80" t="s">
        <v>6</v>
      </c>
      <c r="AV153" s="80" t="s">
        <v>6</v>
      </c>
      <c r="AW153" s="86" t="s">
        <v>305</v>
      </c>
      <c r="AX153" s="80" t="s">
        <v>6</v>
      </c>
      <c r="AY153" s="88" t="s">
        <v>305</v>
      </c>
      <c r="AZ153" s="74" t="s">
        <v>214</v>
      </c>
      <c r="BA153" s="92">
        <v>9</v>
      </c>
      <c r="BB153" s="92">
        <v>6</v>
      </c>
      <c r="BC153" s="71" t="s">
        <v>221</v>
      </c>
      <c r="BD153" s="74">
        <v>120</v>
      </c>
      <c r="BE153" s="74">
        <v>96</v>
      </c>
      <c r="BF153" s="74">
        <v>105</v>
      </c>
      <c r="BG153" s="111">
        <v>46278</v>
      </c>
      <c r="BH153" s="74"/>
      <c r="BI153" s="96">
        <f>BG153/7*50</f>
        <v>330557.14285714284</v>
      </c>
      <c r="BJ153" s="111">
        <v>43227</v>
      </c>
      <c r="BK153" s="111">
        <v>43052</v>
      </c>
      <c r="BL153" s="74">
        <v>0</v>
      </c>
      <c r="BM153" s="74">
        <v>0</v>
      </c>
      <c r="BN153" s="74" t="s">
        <v>222</v>
      </c>
      <c r="BO153" s="74">
        <v>0</v>
      </c>
      <c r="BP153" s="74">
        <v>0</v>
      </c>
      <c r="BQ153" s="104" t="s">
        <v>75</v>
      </c>
      <c r="BR153" s="104" t="s">
        <v>641</v>
      </c>
      <c r="BS153" s="71">
        <f>AD153/100*(44)*12.86</f>
        <v>72733.130183999994</v>
      </c>
      <c r="BT153" s="71">
        <f>AD153/100*(56)*25.73</f>
        <v>185210.85928800001</v>
      </c>
      <c r="BU153" s="71">
        <v>349701.41249999998</v>
      </c>
      <c r="BV153" s="96">
        <f t="shared" si="12"/>
        <v>607645.40197200002</v>
      </c>
      <c r="BW153" s="101">
        <f>BM153*(1-0.25)*(1-0.26)*(1-0.25)*1.2</f>
        <v>0</v>
      </c>
      <c r="BX153" s="101">
        <f>SUBTOTAL(9,BM153,BW153)</f>
        <v>0</v>
      </c>
    </row>
    <row r="154" spans="1:89" customFormat="1" ht="60" customHeight="1" x14ac:dyDescent="0.25">
      <c r="A154" s="110" t="s">
        <v>51</v>
      </c>
      <c r="B154" s="5">
        <v>1669</v>
      </c>
      <c r="C154" s="8" t="s">
        <v>4</v>
      </c>
      <c r="D154" s="8" t="s">
        <v>5</v>
      </c>
      <c r="E154" s="95" t="s">
        <v>25</v>
      </c>
      <c r="F154" s="78"/>
      <c r="G154" s="77" t="s">
        <v>6</v>
      </c>
      <c r="H154" s="77" t="s">
        <v>6</v>
      </c>
      <c r="I154" s="8" t="s">
        <v>7</v>
      </c>
      <c r="J154" s="74" t="s">
        <v>7</v>
      </c>
      <c r="K154" s="74" t="s">
        <v>527</v>
      </c>
      <c r="L154" s="90" t="s">
        <v>600</v>
      </c>
      <c r="M154" s="81">
        <v>2000</v>
      </c>
      <c r="N154" s="74" t="s">
        <v>6</v>
      </c>
      <c r="O154" s="74" t="s">
        <v>6</v>
      </c>
      <c r="P154" s="74" t="s">
        <v>221</v>
      </c>
      <c r="Q154" s="81">
        <v>10500</v>
      </c>
      <c r="R154" s="74" t="s">
        <v>223</v>
      </c>
      <c r="S154" s="79">
        <f t="shared" si="16"/>
        <v>-0.33333333333333331</v>
      </c>
      <c r="T154" s="80">
        <f t="shared" si="14"/>
        <v>10500</v>
      </c>
      <c r="U154" s="81">
        <v>9850</v>
      </c>
      <c r="V154" s="81">
        <v>12761</v>
      </c>
      <c r="W154" s="81">
        <v>11116</v>
      </c>
      <c r="X154" s="81"/>
      <c r="Y154" s="81"/>
      <c r="Z154" s="81"/>
      <c r="AA154" s="81">
        <v>14000</v>
      </c>
      <c r="AB154" s="80">
        <v>5500</v>
      </c>
      <c r="AC154" s="80" t="s">
        <v>223</v>
      </c>
      <c r="AD154" s="80">
        <f>Q154/100*69</f>
        <v>7245</v>
      </c>
      <c r="AE154" s="86">
        <v>5000</v>
      </c>
      <c r="AF154" s="80" t="s">
        <v>223</v>
      </c>
      <c r="AG154" s="81" t="s">
        <v>75</v>
      </c>
      <c r="AH154" s="86">
        <v>30</v>
      </c>
      <c r="AI154" s="86">
        <v>450</v>
      </c>
      <c r="AJ154" s="80" t="s">
        <v>223</v>
      </c>
      <c r="AK154" s="80">
        <v>40</v>
      </c>
      <c r="AL154" s="86">
        <v>900</v>
      </c>
      <c r="AM154" s="86">
        <v>70</v>
      </c>
      <c r="AN154" s="80" t="s">
        <v>223</v>
      </c>
      <c r="AO154" s="74">
        <v>35</v>
      </c>
      <c r="AP154" s="86">
        <v>600</v>
      </c>
      <c r="AQ154" s="80" t="s">
        <v>223</v>
      </c>
      <c r="AR154" s="74">
        <v>30</v>
      </c>
      <c r="AS154" s="86">
        <v>1000</v>
      </c>
      <c r="AT154" s="80" t="s">
        <v>223</v>
      </c>
      <c r="AU154" s="80" t="s">
        <v>6</v>
      </c>
      <c r="AV154" s="80" t="s">
        <v>6</v>
      </c>
      <c r="AW154" s="86" t="s">
        <v>264</v>
      </c>
      <c r="AX154" s="80" t="s">
        <v>6</v>
      </c>
      <c r="AY154" s="88">
        <v>800</v>
      </c>
      <c r="AZ154" s="74" t="s">
        <v>6</v>
      </c>
      <c r="BA154" s="92">
        <v>5</v>
      </c>
      <c r="BB154" s="92">
        <v>3</v>
      </c>
      <c r="BC154" s="71" t="s">
        <v>221</v>
      </c>
      <c r="BD154" s="74">
        <v>45</v>
      </c>
      <c r="BE154" s="74"/>
      <c r="BF154" s="74">
        <v>32</v>
      </c>
      <c r="BG154" s="111">
        <v>5000</v>
      </c>
      <c r="BH154" s="74" t="s">
        <v>223</v>
      </c>
      <c r="BI154" s="96">
        <f>BG154/7*50</f>
        <v>35714.285714285717</v>
      </c>
      <c r="BJ154" s="111"/>
      <c r="BK154" s="111">
        <v>2000</v>
      </c>
      <c r="BL154" s="74">
        <v>8</v>
      </c>
      <c r="BM154" s="74">
        <v>5</v>
      </c>
      <c r="BN154" s="74" t="s">
        <v>222</v>
      </c>
      <c r="BO154" s="74">
        <v>8</v>
      </c>
      <c r="BP154" s="74">
        <v>2</v>
      </c>
      <c r="BQ154" s="104" t="s">
        <v>448</v>
      </c>
      <c r="BR154" s="104" t="s">
        <v>75</v>
      </c>
      <c r="BS154" s="71">
        <f>AD154/100*(44)*17.99</f>
        <v>57348.521999999997</v>
      </c>
      <c r="BT154" s="71">
        <f>AD154/100*(56)*35.98</f>
        <v>145978.05600000001</v>
      </c>
      <c r="BU154" s="71">
        <v>10963.487499999999</v>
      </c>
      <c r="BV154" s="96">
        <f t="shared" si="12"/>
        <v>214290.0655</v>
      </c>
      <c r="BW154" s="101">
        <f>BM154*(1-0.25)*(1-0.26)*(1-0.25)*1.2</f>
        <v>2.4974999999999996</v>
      </c>
      <c r="BX154" s="101">
        <f>SUBTOTAL(9,BM154,BW154)</f>
        <v>7.4974999999999996</v>
      </c>
    </row>
    <row r="155" spans="1:89" customFormat="1" ht="45" customHeight="1" x14ac:dyDescent="0.25">
      <c r="A155" s="18" t="s">
        <v>17</v>
      </c>
      <c r="B155" s="5">
        <v>698</v>
      </c>
      <c r="C155" s="8" t="s">
        <v>4</v>
      </c>
      <c r="D155" s="8" t="s">
        <v>5</v>
      </c>
      <c r="E155" s="8" t="s">
        <v>11</v>
      </c>
      <c r="F155" s="8" t="s">
        <v>665</v>
      </c>
      <c r="G155" s="77" t="s">
        <v>214</v>
      </c>
      <c r="H155" s="77" t="s">
        <v>6</v>
      </c>
      <c r="I155" s="8" t="s">
        <v>9</v>
      </c>
      <c r="J155" s="74" t="s">
        <v>9</v>
      </c>
      <c r="K155" s="74" t="s">
        <v>527</v>
      </c>
      <c r="L155" s="90" t="s">
        <v>599</v>
      </c>
      <c r="M155" s="81">
        <v>1700</v>
      </c>
      <c r="N155" s="74" t="s">
        <v>6</v>
      </c>
      <c r="O155" s="74" t="s">
        <v>221</v>
      </c>
      <c r="P155" s="74" t="s">
        <v>6</v>
      </c>
      <c r="Q155" s="81">
        <v>47190</v>
      </c>
      <c r="R155" s="74" t="s">
        <v>222</v>
      </c>
      <c r="S155" s="79">
        <f t="shared" si="16"/>
        <v>0.11351981351981352</v>
      </c>
      <c r="T155" s="80">
        <f t="shared" si="14"/>
        <v>47190</v>
      </c>
      <c r="U155" s="81">
        <v>25800</v>
      </c>
      <c r="V155" s="81">
        <v>42404</v>
      </c>
      <c r="W155" s="81">
        <v>30216</v>
      </c>
      <c r="X155" s="81"/>
      <c r="Y155" s="81"/>
      <c r="Z155" s="81"/>
      <c r="AA155" s="81">
        <v>41833</v>
      </c>
      <c r="AB155" s="80" t="s">
        <v>75</v>
      </c>
      <c r="AC155" s="80" t="s">
        <v>223</v>
      </c>
      <c r="AD155" s="80">
        <f>Q155/100*69</f>
        <v>32561.1</v>
      </c>
      <c r="AE155" s="86" t="s">
        <v>75</v>
      </c>
      <c r="AF155" s="80" t="s">
        <v>223</v>
      </c>
      <c r="AG155" s="81" t="s">
        <v>453</v>
      </c>
      <c r="AH155" s="86" t="s">
        <v>75</v>
      </c>
      <c r="AI155" s="86">
        <v>4100</v>
      </c>
      <c r="AJ155" s="80" t="s">
        <v>222</v>
      </c>
      <c r="AK155" s="80" t="s">
        <v>75</v>
      </c>
      <c r="AL155" s="86" t="s">
        <v>75</v>
      </c>
      <c r="AM155" s="86" t="s">
        <v>75</v>
      </c>
      <c r="AN155" s="80" t="s">
        <v>75</v>
      </c>
      <c r="AO155" s="74" t="s">
        <v>75</v>
      </c>
      <c r="AP155" s="86" t="s">
        <v>75</v>
      </c>
      <c r="AQ155" s="80" t="s">
        <v>75</v>
      </c>
      <c r="AR155" s="74" t="s">
        <v>75</v>
      </c>
      <c r="AS155" s="86" t="s">
        <v>75</v>
      </c>
      <c r="AT155" s="80" t="s">
        <v>75</v>
      </c>
      <c r="AU155" s="80" t="s">
        <v>6</v>
      </c>
      <c r="AV155" s="80" t="s">
        <v>221</v>
      </c>
      <c r="AW155" s="86">
        <v>160553</v>
      </c>
      <c r="AX155" s="80" t="s">
        <v>6</v>
      </c>
      <c r="AY155" s="88">
        <v>9968</v>
      </c>
      <c r="AZ155" s="74" t="s">
        <v>221</v>
      </c>
      <c r="BA155" s="92" t="s">
        <v>266</v>
      </c>
      <c r="BB155" s="92" t="s">
        <v>266</v>
      </c>
      <c r="BC155" s="71" t="s">
        <v>221</v>
      </c>
      <c r="BD155" s="74">
        <v>120</v>
      </c>
      <c r="BE155" s="74"/>
      <c r="BF155" s="74">
        <v>30</v>
      </c>
      <c r="BG155" s="111">
        <v>8264</v>
      </c>
      <c r="BH155" s="74" t="s">
        <v>222</v>
      </c>
      <c r="BI155" s="96">
        <f>BG155/7*50</f>
        <v>59028.571428571435</v>
      </c>
      <c r="BJ155" s="111"/>
      <c r="BK155" s="111">
        <v>1200</v>
      </c>
      <c r="BL155" s="74">
        <v>15</v>
      </c>
      <c r="BM155" s="74">
        <v>10.6</v>
      </c>
      <c r="BN155" s="74" t="s">
        <v>222</v>
      </c>
      <c r="BO155" s="74">
        <v>14</v>
      </c>
      <c r="BP155" s="74">
        <v>10.1</v>
      </c>
      <c r="BQ155" s="104" t="s">
        <v>75</v>
      </c>
      <c r="BR155" s="104" t="s">
        <v>75</v>
      </c>
      <c r="BS155" s="71">
        <f>AD155/100*(44)*8.9</f>
        <v>127509.26760000001</v>
      </c>
      <c r="BT155" s="71">
        <f>AD155/100*(56)*17.79</f>
        <v>324386.70263999997</v>
      </c>
      <c r="BU155" s="71">
        <v>494191.53749999998</v>
      </c>
      <c r="BV155" s="96">
        <f t="shared" si="12"/>
        <v>946087.50774000003</v>
      </c>
      <c r="BW155" s="101">
        <f>BM155*(1-0.25)*(1-0.26)*(1-0.25)*1.2</f>
        <v>5.2946999999999989</v>
      </c>
      <c r="BX155" s="101">
        <f>SUBTOTAL(9,BM155,BW155)</f>
        <v>15.894699999999998</v>
      </c>
    </row>
    <row r="156" spans="1:89" customFormat="1" ht="75" customHeight="1" x14ac:dyDescent="0.25">
      <c r="A156" s="18" t="s">
        <v>146</v>
      </c>
      <c r="B156" s="5">
        <v>740</v>
      </c>
      <c r="C156" s="8" t="s">
        <v>4</v>
      </c>
      <c r="D156" s="8" t="s">
        <v>5</v>
      </c>
      <c r="E156" s="76" t="s">
        <v>137</v>
      </c>
      <c r="F156" s="94" t="s">
        <v>141</v>
      </c>
      <c r="G156" s="77" t="s">
        <v>214</v>
      </c>
      <c r="H156" s="77" t="s">
        <v>6</v>
      </c>
      <c r="I156" s="8" t="s">
        <v>9</v>
      </c>
      <c r="J156" s="75" t="s">
        <v>9</v>
      </c>
      <c r="K156" s="75" t="s">
        <v>527</v>
      </c>
      <c r="L156" s="122" t="s">
        <v>599</v>
      </c>
      <c r="M156" s="81" t="s">
        <v>558</v>
      </c>
      <c r="N156" s="74" t="s">
        <v>221</v>
      </c>
      <c r="O156" s="74" t="s">
        <v>221</v>
      </c>
      <c r="P156" s="74" t="s">
        <v>221</v>
      </c>
      <c r="Q156" s="81">
        <v>14775</v>
      </c>
      <c r="R156" s="74" t="s">
        <v>75</v>
      </c>
      <c r="S156" s="79">
        <f t="shared" si="16"/>
        <v>-0.23993231810490695</v>
      </c>
      <c r="T156" s="80">
        <f t="shared" si="14"/>
        <v>14775</v>
      </c>
      <c r="U156" s="81"/>
      <c r="V156" s="81"/>
      <c r="W156" s="81">
        <v>15215</v>
      </c>
      <c r="X156" s="81">
        <v>17212</v>
      </c>
      <c r="Y156" s="81">
        <v>14256</v>
      </c>
      <c r="Z156" s="81">
        <v>15378</v>
      </c>
      <c r="AA156" s="81">
        <v>18320</v>
      </c>
      <c r="AB156" s="80">
        <v>10711</v>
      </c>
      <c r="AC156" s="80" t="s">
        <v>75</v>
      </c>
      <c r="AD156" s="80">
        <f>Q156/100*69</f>
        <v>10194.75</v>
      </c>
      <c r="AE156" s="86">
        <v>4064</v>
      </c>
      <c r="AF156" s="80" t="s">
        <v>75</v>
      </c>
      <c r="AG156" s="81" t="s">
        <v>221</v>
      </c>
      <c r="AH156" s="86">
        <v>46</v>
      </c>
      <c r="AI156" s="86">
        <v>1966</v>
      </c>
      <c r="AJ156" s="80" t="s">
        <v>75</v>
      </c>
      <c r="AK156" s="80">
        <v>0</v>
      </c>
      <c r="AL156" s="86">
        <v>0</v>
      </c>
      <c r="AM156" s="86">
        <v>0</v>
      </c>
      <c r="AN156" s="80" t="s">
        <v>75</v>
      </c>
      <c r="AO156" s="74">
        <v>39</v>
      </c>
      <c r="AP156" s="86">
        <v>2110</v>
      </c>
      <c r="AQ156" s="80" t="s">
        <v>75</v>
      </c>
      <c r="AR156" s="74">
        <v>0</v>
      </c>
      <c r="AS156" s="86">
        <v>0</v>
      </c>
      <c r="AT156" s="80" t="s">
        <v>75</v>
      </c>
      <c r="AU156" s="80" t="s">
        <v>6</v>
      </c>
      <c r="AV156" s="80" t="s">
        <v>75</v>
      </c>
      <c r="AW156" s="86" t="s">
        <v>75</v>
      </c>
      <c r="AX156" s="80" t="s">
        <v>6</v>
      </c>
      <c r="AY156" s="88" t="s">
        <v>559</v>
      </c>
      <c r="AZ156" s="74" t="s">
        <v>6</v>
      </c>
      <c r="BA156" s="92">
        <v>4.3499999999999996</v>
      </c>
      <c r="BB156" s="92">
        <v>3.5</v>
      </c>
      <c r="BC156" s="71" t="s">
        <v>75</v>
      </c>
      <c r="BD156" s="74" t="s">
        <v>75</v>
      </c>
      <c r="BE156" s="74"/>
      <c r="BF156" s="74" t="s">
        <v>611</v>
      </c>
      <c r="BG156" s="111" t="s">
        <v>75</v>
      </c>
      <c r="BH156" s="74" t="s">
        <v>75</v>
      </c>
      <c r="BI156" s="96"/>
      <c r="BJ156" s="111"/>
      <c r="BK156" s="111" t="s">
        <v>611</v>
      </c>
      <c r="BL156" s="74" t="s">
        <v>75</v>
      </c>
      <c r="BM156" s="74" t="s">
        <v>75</v>
      </c>
      <c r="BN156" s="74" t="s">
        <v>75</v>
      </c>
      <c r="BO156" s="75" t="s">
        <v>611</v>
      </c>
      <c r="BP156" s="75" t="s">
        <v>611</v>
      </c>
      <c r="BQ156" s="104" t="s">
        <v>75</v>
      </c>
      <c r="BR156" s="104" t="s">
        <v>75</v>
      </c>
      <c r="BS156" s="71">
        <f>AD156/100*(44)*14.08</f>
        <v>63158.515200000009</v>
      </c>
      <c r="BT156" s="71">
        <f>AD156/100*(56)*28.16</f>
        <v>160767.12960000001</v>
      </c>
      <c r="BU156" s="71"/>
      <c r="BV156" s="96">
        <f t="shared" si="12"/>
        <v>223925.64480000001</v>
      </c>
      <c r="BW156" s="101"/>
      <c r="BX156" s="101">
        <f>SUBTOTAL(9,BM156,BW156)</f>
        <v>0</v>
      </c>
    </row>
    <row r="157" spans="1:89" customFormat="1" ht="45" customHeight="1" x14ac:dyDescent="0.25">
      <c r="A157" s="115" t="s">
        <v>524</v>
      </c>
      <c r="B157" s="5"/>
      <c r="C157" s="8" t="s">
        <v>105</v>
      </c>
      <c r="D157" s="8"/>
      <c r="E157" s="76" t="s">
        <v>137</v>
      </c>
      <c r="F157" s="94"/>
      <c r="G157" s="77"/>
      <c r="H157" s="77" t="s">
        <v>6</v>
      </c>
      <c r="I157" s="74" t="s">
        <v>7</v>
      </c>
      <c r="J157" s="74"/>
      <c r="K157" s="74"/>
      <c r="L157" s="90"/>
      <c r="M157" s="81"/>
      <c r="N157" s="74"/>
      <c r="O157" s="74"/>
      <c r="P157" s="74"/>
      <c r="Q157" s="81"/>
      <c r="R157" s="72"/>
      <c r="S157" s="79"/>
      <c r="T157" s="80" t="e">
        <f t="shared" si="14"/>
        <v>#DIV/0!</v>
      </c>
      <c r="U157" s="81">
        <v>33869</v>
      </c>
      <c r="V157" s="81">
        <v>30586</v>
      </c>
      <c r="W157" s="81">
        <v>30883</v>
      </c>
      <c r="X157" s="81">
        <v>27343</v>
      </c>
      <c r="Y157" s="81">
        <v>29000</v>
      </c>
      <c r="Z157" s="81">
        <v>26000</v>
      </c>
      <c r="AA157" s="81">
        <v>28837</v>
      </c>
      <c r="AB157" s="80"/>
      <c r="AC157" s="80"/>
      <c r="AD157" s="80"/>
      <c r="AE157" s="86"/>
      <c r="AF157" s="80"/>
      <c r="AG157" s="81"/>
      <c r="AH157" s="86"/>
      <c r="AI157" s="86"/>
      <c r="AJ157" s="80"/>
      <c r="AK157" s="80"/>
      <c r="AL157" s="86"/>
      <c r="AM157" s="86"/>
      <c r="AN157" s="80"/>
      <c r="AO157" s="74"/>
      <c r="AP157" s="86"/>
      <c r="AQ157" s="80"/>
      <c r="AR157" s="74"/>
      <c r="AS157" s="86"/>
      <c r="AT157" s="80"/>
      <c r="AU157" s="80" t="s">
        <v>6</v>
      </c>
      <c r="AV157" s="80"/>
      <c r="AW157" s="86"/>
      <c r="AX157" s="80"/>
      <c r="AY157" s="88"/>
      <c r="AZ157" s="74" t="s">
        <v>214</v>
      </c>
      <c r="BA157" s="92">
        <v>11</v>
      </c>
      <c r="BB157" s="92">
        <v>7</v>
      </c>
      <c r="BC157" s="71"/>
      <c r="BD157" s="72"/>
      <c r="BE157" s="72">
        <v>0</v>
      </c>
      <c r="BF157" s="72">
        <v>0</v>
      </c>
      <c r="BG157" s="111"/>
      <c r="BH157" s="72"/>
      <c r="BI157" s="96">
        <f>BG157/7*50</f>
        <v>0</v>
      </c>
      <c r="BJ157" s="111">
        <v>0</v>
      </c>
      <c r="BK157" s="111">
        <v>0</v>
      </c>
      <c r="BL157" s="72"/>
      <c r="BM157" s="72"/>
      <c r="BN157" s="72"/>
      <c r="BO157" s="74">
        <v>8</v>
      </c>
      <c r="BP157" s="74">
        <v>7</v>
      </c>
      <c r="BQ157" s="104"/>
      <c r="BR157" s="104"/>
      <c r="BS157" s="71"/>
      <c r="BT157" s="71"/>
      <c r="BU157" s="71"/>
      <c r="BV157" s="96">
        <f t="shared" si="12"/>
        <v>0</v>
      </c>
      <c r="BW157" s="101"/>
      <c r="BX157" s="101"/>
    </row>
    <row r="158" spans="1:89" customFormat="1" ht="45" customHeight="1" x14ac:dyDescent="0.25">
      <c r="A158" s="115" t="s">
        <v>525</v>
      </c>
      <c r="B158" s="5"/>
      <c r="C158" s="8" t="s">
        <v>105</v>
      </c>
      <c r="D158" s="8"/>
      <c r="E158" s="76" t="s">
        <v>68</v>
      </c>
      <c r="F158" s="94"/>
      <c r="G158" s="77"/>
      <c r="H158" s="77" t="s">
        <v>6</v>
      </c>
      <c r="I158" s="74" t="s">
        <v>7</v>
      </c>
      <c r="J158" s="74"/>
      <c r="K158" s="74"/>
      <c r="L158" s="90"/>
      <c r="M158" s="81"/>
      <c r="N158" s="75"/>
      <c r="O158" s="75"/>
      <c r="P158" s="75"/>
      <c r="Q158" s="81"/>
      <c r="R158" s="72"/>
      <c r="S158" s="79"/>
      <c r="T158" s="80" t="e">
        <f t="shared" si="14"/>
        <v>#DIV/0!</v>
      </c>
      <c r="U158" s="81"/>
      <c r="V158" s="81"/>
      <c r="W158" s="81"/>
      <c r="X158" s="81"/>
      <c r="Y158" s="81"/>
      <c r="Z158" s="81"/>
      <c r="AA158" s="81">
        <v>6900</v>
      </c>
      <c r="AB158" s="80"/>
      <c r="AC158" s="80"/>
      <c r="AD158" s="80"/>
      <c r="AE158" s="86"/>
      <c r="AF158" s="80"/>
      <c r="AG158" s="81"/>
      <c r="AH158" s="86"/>
      <c r="AI158" s="86"/>
      <c r="AJ158" s="80"/>
      <c r="AK158" s="80"/>
      <c r="AL158" s="86"/>
      <c r="AM158" s="86"/>
      <c r="AN158" s="80"/>
      <c r="AO158" s="75"/>
      <c r="AP158" s="86"/>
      <c r="AQ158" s="80"/>
      <c r="AR158" s="75"/>
      <c r="AS158" s="86"/>
      <c r="AT158" s="80"/>
      <c r="AU158" s="80" t="s">
        <v>6</v>
      </c>
      <c r="AV158" s="80"/>
      <c r="AW158" s="86"/>
      <c r="AX158" s="80"/>
      <c r="AY158" s="88"/>
      <c r="AZ158" s="75" t="s">
        <v>214</v>
      </c>
      <c r="BA158" s="92">
        <v>6</v>
      </c>
      <c r="BB158" s="92">
        <v>1</v>
      </c>
      <c r="BC158" s="71"/>
      <c r="BD158" s="72"/>
      <c r="BE158" s="72"/>
      <c r="BF158" s="72">
        <v>80</v>
      </c>
      <c r="BG158" s="111"/>
      <c r="BH158" s="72"/>
      <c r="BI158" s="96">
        <f>BG158/7*50</f>
        <v>0</v>
      </c>
      <c r="BJ158" s="111"/>
      <c r="BK158" s="111">
        <v>7500</v>
      </c>
      <c r="BL158" s="72"/>
      <c r="BM158" s="72"/>
      <c r="BN158" s="72"/>
      <c r="BO158" s="74">
        <v>3</v>
      </c>
      <c r="BP158" s="74">
        <v>2.2000000000000002</v>
      </c>
      <c r="BQ158" s="106"/>
      <c r="BR158" s="106"/>
      <c r="BS158" s="71"/>
      <c r="BT158" s="71"/>
      <c r="BU158" s="71"/>
      <c r="BV158" s="96">
        <f t="shared" si="12"/>
        <v>0</v>
      </c>
      <c r="BW158" s="102"/>
      <c r="BX158" s="102"/>
    </row>
    <row r="159" spans="1:89" customFormat="1" ht="75" customHeight="1" x14ac:dyDescent="0.25">
      <c r="A159" s="113" t="s">
        <v>20</v>
      </c>
      <c r="B159" s="5">
        <v>2306</v>
      </c>
      <c r="C159" s="8" t="s">
        <v>4</v>
      </c>
      <c r="D159" s="8" t="s">
        <v>5</v>
      </c>
      <c r="E159" s="8" t="s">
        <v>11</v>
      </c>
      <c r="F159" s="8"/>
      <c r="G159" s="77" t="s">
        <v>214</v>
      </c>
      <c r="H159" s="77" t="s">
        <v>6</v>
      </c>
      <c r="I159" s="8" t="s">
        <v>7</v>
      </c>
      <c r="J159" s="74" t="s">
        <v>7</v>
      </c>
      <c r="K159" s="74" t="s">
        <v>526</v>
      </c>
      <c r="L159" s="90" t="s">
        <v>600</v>
      </c>
      <c r="M159" s="81" t="s">
        <v>590</v>
      </c>
      <c r="N159" s="75" t="s">
        <v>6</v>
      </c>
      <c r="O159" s="75" t="s">
        <v>6</v>
      </c>
      <c r="P159" s="75" t="s">
        <v>221</v>
      </c>
      <c r="Q159" s="81">
        <v>6790</v>
      </c>
      <c r="R159" s="74" t="s">
        <v>222</v>
      </c>
      <c r="S159" s="79">
        <f>(Q159-AA159)/Q159</f>
        <v>0.51723122238586161</v>
      </c>
      <c r="T159" s="80">
        <f t="shared" si="14"/>
        <v>6790</v>
      </c>
      <c r="U159" s="81"/>
      <c r="V159" s="81"/>
      <c r="W159" s="81"/>
      <c r="X159" s="81"/>
      <c r="Y159" s="81">
        <v>1660</v>
      </c>
      <c r="Z159" s="81"/>
      <c r="AA159" s="81">
        <v>3278</v>
      </c>
      <c r="AB159" s="80">
        <v>5851</v>
      </c>
      <c r="AC159" s="80" t="s">
        <v>222</v>
      </c>
      <c r="AD159" s="80">
        <f>Q159/100*75</f>
        <v>5092.5</v>
      </c>
      <c r="AE159" s="86">
        <v>939</v>
      </c>
      <c r="AF159" s="80" t="s">
        <v>222</v>
      </c>
      <c r="AG159" s="81" t="s">
        <v>221</v>
      </c>
      <c r="AH159" s="86">
        <v>6</v>
      </c>
      <c r="AI159" s="86">
        <v>180</v>
      </c>
      <c r="AJ159" s="80" t="s">
        <v>223</v>
      </c>
      <c r="AK159" s="80">
        <v>0</v>
      </c>
      <c r="AL159" s="86">
        <v>0</v>
      </c>
      <c r="AM159" s="86">
        <v>6</v>
      </c>
      <c r="AN159" s="80" t="s">
        <v>222</v>
      </c>
      <c r="AO159" s="75">
        <v>3</v>
      </c>
      <c r="AP159" s="86">
        <v>115</v>
      </c>
      <c r="AQ159" s="80" t="s">
        <v>222</v>
      </c>
      <c r="AR159" s="75">
        <v>1</v>
      </c>
      <c r="AS159" s="86">
        <v>65</v>
      </c>
      <c r="AT159" s="80" t="s">
        <v>222</v>
      </c>
      <c r="AU159" s="80" t="s">
        <v>6</v>
      </c>
      <c r="AV159" s="80" t="s">
        <v>6</v>
      </c>
      <c r="AW159" s="86" t="s">
        <v>591</v>
      </c>
      <c r="AX159" s="80" t="s">
        <v>75</v>
      </c>
      <c r="AY159" s="88" t="s">
        <v>592</v>
      </c>
      <c r="AZ159" s="75" t="s">
        <v>221</v>
      </c>
      <c r="BA159" s="92" t="s">
        <v>266</v>
      </c>
      <c r="BB159" s="92" t="s">
        <v>266</v>
      </c>
      <c r="BC159" s="71" t="s">
        <v>221</v>
      </c>
      <c r="BD159" s="74">
        <v>24</v>
      </c>
      <c r="BE159" s="74"/>
      <c r="BF159" s="74">
        <v>17</v>
      </c>
      <c r="BG159" s="111">
        <v>1200</v>
      </c>
      <c r="BH159" s="74" t="s">
        <v>223</v>
      </c>
      <c r="BI159" s="96">
        <f>BG159/7*50</f>
        <v>8571.4285714285706</v>
      </c>
      <c r="BJ159" s="111"/>
      <c r="BK159" s="111">
        <v>1090</v>
      </c>
      <c r="BL159" s="74">
        <v>9</v>
      </c>
      <c r="BM159" s="74">
        <v>4</v>
      </c>
      <c r="BN159" s="74" t="s">
        <v>222</v>
      </c>
      <c r="BO159" s="74">
        <v>7</v>
      </c>
      <c r="BP159" s="74">
        <v>2.5</v>
      </c>
      <c r="BQ159" s="105" t="s">
        <v>593</v>
      </c>
      <c r="BR159" s="105" t="s">
        <v>75</v>
      </c>
      <c r="BS159" s="71">
        <f>AD159/100*(47)*8.9</f>
        <v>21301.927500000002</v>
      </c>
      <c r="BT159" s="71">
        <f>AD159/100*(53)*17.79</f>
        <v>48015.654749999994</v>
      </c>
      <c r="BU159" s="71">
        <v>62092.397499999999</v>
      </c>
      <c r="BV159" s="96">
        <f t="shared" si="12"/>
        <v>131409.97975</v>
      </c>
      <c r="BW159" s="102">
        <f>BM159*(1-0.25)*(1-0.21)*(1-0.25)*1.2</f>
        <v>2.133</v>
      </c>
      <c r="BX159" s="102">
        <f>SUBTOTAL(9,BM159,BW159)</f>
        <v>6.133</v>
      </c>
      <c r="BY159" s="28"/>
      <c r="BZ159" s="28"/>
      <c r="CA159" s="28"/>
      <c r="CB159" s="28"/>
      <c r="CC159" s="28"/>
      <c r="CD159" s="28"/>
      <c r="CE159" s="28"/>
      <c r="CF159" s="28"/>
      <c r="CG159" s="28"/>
      <c r="CH159" s="28"/>
      <c r="CI159" s="28"/>
      <c r="CJ159" s="28"/>
      <c r="CK159" s="28"/>
    </row>
    <row r="160" spans="1:89" customFormat="1" ht="45" customHeight="1" x14ac:dyDescent="0.25">
      <c r="A160" s="18" t="s">
        <v>56</v>
      </c>
      <c r="B160" s="5">
        <v>2138</v>
      </c>
      <c r="C160" s="8" t="s">
        <v>4</v>
      </c>
      <c r="D160" s="8" t="s">
        <v>5</v>
      </c>
      <c r="E160" s="95" t="s">
        <v>25</v>
      </c>
      <c r="F160" s="78" t="s">
        <v>6</v>
      </c>
      <c r="G160" s="77" t="s">
        <v>6</v>
      </c>
      <c r="H160" s="77" t="s">
        <v>6</v>
      </c>
      <c r="I160" s="8" t="s">
        <v>27</v>
      </c>
      <c r="J160" s="74" t="s">
        <v>27</v>
      </c>
      <c r="K160" s="74" t="s">
        <v>528</v>
      </c>
      <c r="L160" s="90" t="s">
        <v>599</v>
      </c>
      <c r="M160" s="81">
        <v>1500</v>
      </c>
      <c r="N160" s="74" t="s">
        <v>6</v>
      </c>
      <c r="O160" s="74" t="s">
        <v>221</v>
      </c>
      <c r="P160" s="74" t="s">
        <v>221</v>
      </c>
      <c r="Q160" s="81">
        <v>53115</v>
      </c>
      <c r="R160" s="74" t="s">
        <v>222</v>
      </c>
      <c r="S160" s="79">
        <f>(Q160-AA160)/Q160</f>
        <v>4.1381907182528474E-2</v>
      </c>
      <c r="T160" s="80">
        <f t="shared" si="14"/>
        <v>53115</v>
      </c>
      <c r="U160" s="81">
        <v>16767</v>
      </c>
      <c r="V160" s="81">
        <v>0</v>
      </c>
      <c r="W160" s="81">
        <v>38158</v>
      </c>
      <c r="X160" s="81">
        <v>51856</v>
      </c>
      <c r="Y160" s="81">
        <v>40764</v>
      </c>
      <c r="Z160" s="81">
        <v>53635</v>
      </c>
      <c r="AA160" s="81">
        <v>50917</v>
      </c>
      <c r="AB160" s="80">
        <v>39800</v>
      </c>
      <c r="AC160" s="80" t="s">
        <v>223</v>
      </c>
      <c r="AD160" s="80">
        <f>Q160/100*68</f>
        <v>36118.199999999997</v>
      </c>
      <c r="AE160" s="86">
        <v>13300</v>
      </c>
      <c r="AF160" s="80" t="s">
        <v>223</v>
      </c>
      <c r="AG160" s="81" t="s">
        <v>266</v>
      </c>
      <c r="AH160" s="86">
        <v>210</v>
      </c>
      <c r="AI160" s="86">
        <v>6163</v>
      </c>
      <c r="AJ160" s="80" t="s">
        <v>222</v>
      </c>
      <c r="AK160" s="80">
        <v>40</v>
      </c>
      <c r="AL160" s="86">
        <v>1705</v>
      </c>
      <c r="AM160" s="86">
        <v>40</v>
      </c>
      <c r="AN160" s="80" t="s">
        <v>223</v>
      </c>
      <c r="AO160" s="74">
        <v>35</v>
      </c>
      <c r="AP160" s="86">
        <v>6210</v>
      </c>
      <c r="AQ160" s="80" t="s">
        <v>223</v>
      </c>
      <c r="AR160" s="74">
        <v>8</v>
      </c>
      <c r="AS160" s="86">
        <v>19325</v>
      </c>
      <c r="AT160" s="80" t="s">
        <v>223</v>
      </c>
      <c r="AU160" s="80" t="s">
        <v>6</v>
      </c>
      <c r="AV160" s="80" t="s">
        <v>6</v>
      </c>
      <c r="AW160" s="86" t="s">
        <v>465</v>
      </c>
      <c r="AX160" s="80" t="s">
        <v>6</v>
      </c>
      <c r="AY160" s="88" t="s">
        <v>466</v>
      </c>
      <c r="AZ160" s="74" t="s">
        <v>221</v>
      </c>
      <c r="BA160" s="92" t="s">
        <v>266</v>
      </c>
      <c r="BB160" s="92" t="s">
        <v>266</v>
      </c>
      <c r="BC160" s="71" t="s">
        <v>221</v>
      </c>
      <c r="BD160" s="74">
        <v>50</v>
      </c>
      <c r="BE160" s="74">
        <v>65</v>
      </c>
      <c r="BF160" s="74">
        <v>70</v>
      </c>
      <c r="BG160" s="111">
        <v>3000</v>
      </c>
      <c r="BH160" s="74" t="s">
        <v>223</v>
      </c>
      <c r="BI160" s="96">
        <f>BG160/7*50</f>
        <v>21428.571428571428</v>
      </c>
      <c r="BJ160" s="111">
        <v>3500</v>
      </c>
      <c r="BK160" s="111">
        <v>3000</v>
      </c>
      <c r="BL160" s="74">
        <v>8</v>
      </c>
      <c r="BM160" s="74">
        <v>4.4000000000000004</v>
      </c>
      <c r="BN160" s="74" t="s">
        <v>222</v>
      </c>
      <c r="BO160" s="74">
        <v>8</v>
      </c>
      <c r="BP160" s="74">
        <v>4.5999999999999996</v>
      </c>
      <c r="BQ160" s="104" t="s">
        <v>266</v>
      </c>
      <c r="BR160" s="104" t="s">
        <v>266</v>
      </c>
      <c r="BS160" s="71">
        <f>AD160/100*(31)*17.99</f>
        <v>201427.58957999994</v>
      </c>
      <c r="BT160" s="71">
        <f>AD160/100*(69)*35.98</f>
        <v>896677.65683999984</v>
      </c>
      <c r="BU160" s="71"/>
      <c r="BV160" s="96">
        <f t="shared" si="12"/>
        <v>1098105.2464199997</v>
      </c>
      <c r="BW160" s="101">
        <f>BM160*(1-0.25)*(1-0.25)*(1-0.375)*1.2</f>
        <v>1.85625</v>
      </c>
      <c r="BX160" s="101">
        <f>SUBTOTAL(9,BM160,BW160)</f>
        <v>6.2562500000000005</v>
      </c>
    </row>
    <row r="161" spans="1:79" customFormat="1" ht="60" customHeight="1" x14ac:dyDescent="0.25">
      <c r="A161" s="110" t="s">
        <v>155</v>
      </c>
      <c r="B161" s="5">
        <v>1327</v>
      </c>
      <c r="C161" s="8" t="s">
        <v>4</v>
      </c>
      <c r="D161" s="8" t="s">
        <v>5</v>
      </c>
      <c r="E161" s="76" t="s">
        <v>137</v>
      </c>
      <c r="F161" s="94"/>
      <c r="G161" s="77"/>
      <c r="H161" s="77"/>
      <c r="I161" s="8" t="s">
        <v>7</v>
      </c>
      <c r="J161" s="74"/>
      <c r="K161" s="74"/>
      <c r="L161" s="90"/>
      <c r="M161" s="81"/>
      <c r="N161" s="74"/>
      <c r="O161" s="74"/>
      <c r="P161" s="74"/>
      <c r="Q161" s="81"/>
      <c r="R161" s="72"/>
      <c r="S161" s="79"/>
      <c r="T161" s="80"/>
      <c r="U161" s="81">
        <v>13500</v>
      </c>
      <c r="V161" s="81">
        <v>11000</v>
      </c>
      <c r="W161" s="81">
        <v>6000</v>
      </c>
      <c r="X161" s="81">
        <v>12000</v>
      </c>
      <c r="Y161" s="81"/>
      <c r="Z161" s="81"/>
      <c r="AA161" s="81"/>
      <c r="AB161" s="80"/>
      <c r="AC161" s="80"/>
      <c r="AD161" s="80"/>
      <c r="AE161" s="86"/>
      <c r="AF161" s="80"/>
      <c r="AG161" s="81"/>
      <c r="AH161" s="86"/>
      <c r="AI161" s="86"/>
      <c r="AJ161" s="80"/>
      <c r="AK161" s="80"/>
      <c r="AL161" s="86"/>
      <c r="AM161" s="86"/>
      <c r="AN161" s="80"/>
      <c r="AO161" s="74"/>
      <c r="AP161" s="86"/>
      <c r="AQ161" s="80"/>
      <c r="AR161" s="74"/>
      <c r="AS161" s="86"/>
      <c r="AT161" s="80"/>
      <c r="AU161" s="80" t="s">
        <v>6</v>
      </c>
      <c r="AV161" s="80"/>
      <c r="AW161" s="86"/>
      <c r="AX161" s="80"/>
      <c r="AY161" s="88"/>
      <c r="AZ161" s="74" t="s">
        <v>214</v>
      </c>
      <c r="BA161" s="92">
        <v>1</v>
      </c>
      <c r="BB161" s="92" t="s">
        <v>644</v>
      </c>
      <c r="BC161" s="71"/>
      <c r="BD161" s="72"/>
      <c r="BE161" s="72"/>
      <c r="BF161" s="72"/>
      <c r="BG161" s="111"/>
      <c r="BH161" s="72"/>
      <c r="BI161" s="96"/>
      <c r="BJ161" s="111"/>
      <c r="BK161" s="111"/>
      <c r="BL161" s="72"/>
      <c r="BM161" s="72"/>
      <c r="BN161" s="72"/>
      <c r="BO161" s="74"/>
      <c r="BP161" s="74"/>
      <c r="BQ161" s="104"/>
      <c r="BR161" s="104"/>
      <c r="BS161" s="71"/>
      <c r="BT161" s="71"/>
      <c r="BU161" s="71"/>
      <c r="BV161" s="96">
        <f t="shared" si="12"/>
        <v>0</v>
      </c>
      <c r="BW161" s="101"/>
      <c r="BX161" s="101"/>
    </row>
    <row r="162" spans="1:79" customFormat="1" ht="60" customHeight="1" x14ac:dyDescent="0.25">
      <c r="A162" s="113" t="s">
        <v>33</v>
      </c>
      <c r="B162" s="5">
        <v>673</v>
      </c>
      <c r="C162" s="8" t="s">
        <v>4</v>
      </c>
      <c r="D162" s="8" t="s">
        <v>5</v>
      </c>
      <c r="E162" s="95" t="s">
        <v>25</v>
      </c>
      <c r="F162" s="78"/>
      <c r="G162" s="77" t="s">
        <v>6</v>
      </c>
      <c r="H162" s="77" t="s">
        <v>6</v>
      </c>
      <c r="I162" s="8" t="s">
        <v>7</v>
      </c>
      <c r="J162" s="74" t="s">
        <v>7</v>
      </c>
      <c r="K162" s="74" t="s">
        <v>526</v>
      </c>
      <c r="L162" s="90" t="s">
        <v>600</v>
      </c>
      <c r="M162" s="81">
        <v>105</v>
      </c>
      <c r="N162" s="74" t="s">
        <v>6</v>
      </c>
      <c r="O162" s="74" t="s">
        <v>221</v>
      </c>
      <c r="P162" s="74" t="s">
        <v>221</v>
      </c>
      <c r="Q162" s="81">
        <v>880</v>
      </c>
      <c r="R162" s="74" t="s">
        <v>222</v>
      </c>
      <c r="S162" s="79">
        <f>(Q162-AA162)/Q162</f>
        <v>3.8636363636363635E-2</v>
      </c>
      <c r="T162" s="80">
        <f>AVERAGE(Q162:Q162)</f>
        <v>880</v>
      </c>
      <c r="U162" s="81">
        <v>347</v>
      </c>
      <c r="V162" s="81">
        <v>735</v>
      </c>
      <c r="W162" s="81">
        <v>562</v>
      </c>
      <c r="X162" s="81">
        <v>562</v>
      </c>
      <c r="Y162" s="81">
        <v>711</v>
      </c>
      <c r="Z162" s="81">
        <v>461</v>
      </c>
      <c r="AA162" s="81">
        <v>846</v>
      </c>
      <c r="AB162" s="80">
        <v>680</v>
      </c>
      <c r="AC162" s="80" t="s">
        <v>223</v>
      </c>
      <c r="AD162" s="80">
        <f>Q162/100*75</f>
        <v>660</v>
      </c>
      <c r="AE162" s="86">
        <v>200</v>
      </c>
      <c r="AF162" s="80" t="s">
        <v>223</v>
      </c>
      <c r="AG162" s="81" t="s">
        <v>75</v>
      </c>
      <c r="AH162" s="86">
        <v>2</v>
      </c>
      <c r="AI162" s="86">
        <v>79</v>
      </c>
      <c r="AJ162" s="80" t="s">
        <v>222</v>
      </c>
      <c r="AK162" s="80">
        <v>0</v>
      </c>
      <c r="AL162" s="86" t="s">
        <v>75</v>
      </c>
      <c r="AM162" s="86">
        <v>2</v>
      </c>
      <c r="AN162" s="80" t="s">
        <v>222</v>
      </c>
      <c r="AO162" s="74">
        <v>3</v>
      </c>
      <c r="AP162" s="86">
        <v>85</v>
      </c>
      <c r="AQ162" s="80" t="s">
        <v>223</v>
      </c>
      <c r="AR162" s="74">
        <v>3</v>
      </c>
      <c r="AS162" s="86">
        <v>58</v>
      </c>
      <c r="AT162" s="80" t="s">
        <v>222</v>
      </c>
      <c r="AU162" s="80" t="s">
        <v>6</v>
      </c>
      <c r="AV162" s="80" t="s">
        <v>6</v>
      </c>
      <c r="AW162" s="86" t="s">
        <v>264</v>
      </c>
      <c r="AX162" s="80" t="s">
        <v>6</v>
      </c>
      <c r="AY162" s="88">
        <v>100</v>
      </c>
      <c r="AZ162" s="74" t="s">
        <v>221</v>
      </c>
      <c r="BA162" s="92" t="s">
        <v>266</v>
      </c>
      <c r="BB162" s="92" t="s">
        <v>266</v>
      </c>
      <c r="BC162" s="71" t="s">
        <v>221</v>
      </c>
      <c r="BD162" s="74">
        <v>45</v>
      </c>
      <c r="BE162" s="74">
        <v>32</v>
      </c>
      <c r="BF162" s="74">
        <v>35</v>
      </c>
      <c r="BG162" s="111">
        <v>700</v>
      </c>
      <c r="BH162" s="74" t="s">
        <v>223</v>
      </c>
      <c r="BI162" s="96">
        <f>BG162/7*50</f>
        <v>5000</v>
      </c>
      <c r="BJ162" s="111">
        <v>750</v>
      </c>
      <c r="BK162" s="111">
        <v>570</v>
      </c>
      <c r="BL162" s="74">
        <v>0</v>
      </c>
      <c r="BM162" s="74">
        <v>0</v>
      </c>
      <c r="BN162" s="74" t="s">
        <v>222</v>
      </c>
      <c r="BO162" s="74">
        <v>0</v>
      </c>
      <c r="BP162" s="74">
        <v>0</v>
      </c>
      <c r="BQ162" s="104" t="s">
        <v>487</v>
      </c>
      <c r="BR162" s="104" t="s">
        <v>75</v>
      </c>
      <c r="BS162" s="71">
        <f>AD162/100*(47)*17.99</f>
        <v>5580.4979999999996</v>
      </c>
      <c r="BT162" s="71">
        <f>AD162/100*(53)*35.98</f>
        <v>12585.803999999996</v>
      </c>
      <c r="BU162" s="71">
        <v>10276.157499999999</v>
      </c>
      <c r="BV162" s="96">
        <f t="shared" si="12"/>
        <v>28442.459499999997</v>
      </c>
      <c r="BW162" s="101">
        <f>BM162*(1-0.25)*(1-0.21)*(1-0.25)*1.2</f>
        <v>0</v>
      </c>
      <c r="BX162" s="101">
        <f>SUBTOTAL(9,BM162,BW162)</f>
        <v>0</v>
      </c>
    </row>
    <row r="163" spans="1:79" customFormat="1" ht="45" customHeight="1" x14ac:dyDescent="0.25">
      <c r="A163" s="18" t="s">
        <v>143</v>
      </c>
      <c r="B163" s="5">
        <v>736</v>
      </c>
      <c r="C163" s="8" t="s">
        <v>4</v>
      </c>
      <c r="D163" s="8" t="s">
        <v>5</v>
      </c>
      <c r="E163" s="76" t="s">
        <v>137</v>
      </c>
      <c r="F163" s="94" t="s">
        <v>141</v>
      </c>
      <c r="G163" s="77" t="s">
        <v>214</v>
      </c>
      <c r="H163" s="77" t="s">
        <v>6</v>
      </c>
      <c r="I163" s="8" t="s">
        <v>9</v>
      </c>
      <c r="J163" s="75" t="s">
        <v>9</v>
      </c>
      <c r="K163" s="75" t="s">
        <v>527</v>
      </c>
      <c r="L163" s="122" t="s">
        <v>599</v>
      </c>
      <c r="M163" s="81" t="s">
        <v>551</v>
      </c>
      <c r="N163" s="74" t="s">
        <v>221</v>
      </c>
      <c r="O163" s="74" t="s">
        <v>221</v>
      </c>
      <c r="P163" s="74" t="s">
        <v>221</v>
      </c>
      <c r="Q163" s="81">
        <v>37079</v>
      </c>
      <c r="R163" s="74" t="s">
        <v>75</v>
      </c>
      <c r="S163" s="79">
        <f>(Q163-AA163)/Q163</f>
        <v>5.4343428895061892E-2</v>
      </c>
      <c r="T163" s="80">
        <f>AVERAGE(Q163:Q163)</f>
        <v>37079</v>
      </c>
      <c r="U163" s="81"/>
      <c r="V163" s="81"/>
      <c r="W163" s="81">
        <v>31155</v>
      </c>
      <c r="X163" s="81">
        <v>28524</v>
      </c>
      <c r="Y163" s="81">
        <v>27652</v>
      </c>
      <c r="Z163" s="81">
        <v>30595</v>
      </c>
      <c r="AA163" s="81">
        <v>35064</v>
      </c>
      <c r="AB163" s="80">
        <v>23612</v>
      </c>
      <c r="AC163" s="80" t="s">
        <v>75</v>
      </c>
      <c r="AD163" s="80">
        <f>Q163/100*69</f>
        <v>25584.510000000002</v>
      </c>
      <c r="AE163" s="86">
        <v>13467</v>
      </c>
      <c r="AF163" s="80" t="s">
        <v>75</v>
      </c>
      <c r="AG163" s="81" t="s">
        <v>552</v>
      </c>
      <c r="AH163" s="86">
        <v>212</v>
      </c>
      <c r="AI163" s="86">
        <v>9117</v>
      </c>
      <c r="AJ163" s="80" t="s">
        <v>75</v>
      </c>
      <c r="AK163" s="80" t="s">
        <v>75</v>
      </c>
      <c r="AL163" s="86">
        <v>465</v>
      </c>
      <c r="AM163" s="86">
        <v>8</v>
      </c>
      <c r="AN163" s="80" t="s">
        <v>75</v>
      </c>
      <c r="AO163" s="74">
        <v>81</v>
      </c>
      <c r="AP163" s="86">
        <v>2210</v>
      </c>
      <c r="AQ163" s="80" t="s">
        <v>75</v>
      </c>
      <c r="AR163" s="74">
        <v>0</v>
      </c>
      <c r="AS163" s="86">
        <v>0</v>
      </c>
      <c r="AT163" s="80" t="s">
        <v>75</v>
      </c>
      <c r="AU163" s="80" t="s">
        <v>6</v>
      </c>
      <c r="AV163" s="80" t="s">
        <v>75</v>
      </c>
      <c r="AW163" s="86" t="s">
        <v>75</v>
      </c>
      <c r="AX163" s="80" t="s">
        <v>6</v>
      </c>
      <c r="AY163" s="88" t="s">
        <v>553</v>
      </c>
      <c r="AZ163" s="74" t="s">
        <v>6</v>
      </c>
      <c r="BA163" s="92">
        <v>5.7</v>
      </c>
      <c r="BB163" s="92">
        <v>4.55</v>
      </c>
      <c r="BC163" s="71" t="s">
        <v>75</v>
      </c>
      <c r="BD163" s="74" t="s">
        <v>75</v>
      </c>
      <c r="BE163" s="74"/>
      <c r="BF163" s="74" t="s">
        <v>611</v>
      </c>
      <c r="BG163" s="111" t="s">
        <v>75</v>
      </c>
      <c r="BH163" s="74" t="s">
        <v>75</v>
      </c>
      <c r="BI163" s="96"/>
      <c r="BJ163" s="111"/>
      <c r="BK163" s="111" t="s">
        <v>611</v>
      </c>
      <c r="BL163" s="74" t="s">
        <v>75</v>
      </c>
      <c r="BM163" s="74" t="s">
        <v>75</v>
      </c>
      <c r="BN163" s="74" t="s">
        <v>75</v>
      </c>
      <c r="BO163" s="75" t="s">
        <v>611</v>
      </c>
      <c r="BP163" s="75" t="s">
        <v>611</v>
      </c>
      <c r="BQ163" s="104" t="s">
        <v>75</v>
      </c>
      <c r="BR163" s="104" t="s">
        <v>75</v>
      </c>
      <c r="BS163" s="71">
        <f>AD163/100*(44)*14.08</f>
        <v>158501.15635200002</v>
      </c>
      <c r="BT163" s="71">
        <f>AD163/100*(56)*28.16</f>
        <v>403457.48889600008</v>
      </c>
      <c r="BU163" s="71"/>
      <c r="BV163" s="96">
        <f t="shared" si="12"/>
        <v>561958.64524800004</v>
      </c>
      <c r="BW163" s="101"/>
      <c r="BX163" s="101">
        <f>SUBTOTAL(9,BM163,BW163)</f>
        <v>0</v>
      </c>
      <c r="BY163" s="28"/>
    </row>
    <row r="164" spans="1:79" customFormat="1" ht="45" customHeight="1" x14ac:dyDescent="0.25">
      <c r="A164" s="110" t="s">
        <v>145</v>
      </c>
      <c r="B164" s="5">
        <v>738</v>
      </c>
      <c r="C164" s="8" t="s">
        <v>4</v>
      </c>
      <c r="D164" s="8" t="s">
        <v>5</v>
      </c>
      <c r="E164" s="76" t="s">
        <v>137</v>
      </c>
      <c r="F164" s="94" t="s">
        <v>141</v>
      </c>
      <c r="G164" s="77" t="s">
        <v>214</v>
      </c>
      <c r="H164" s="77" t="s">
        <v>6</v>
      </c>
      <c r="I164" s="8" t="s">
        <v>9</v>
      </c>
      <c r="J164" s="75" t="s">
        <v>9</v>
      </c>
      <c r="K164" s="75" t="s">
        <v>526</v>
      </c>
      <c r="L164" s="122" t="s">
        <v>600</v>
      </c>
      <c r="M164" s="81" t="s">
        <v>556</v>
      </c>
      <c r="N164" s="74" t="s">
        <v>221</v>
      </c>
      <c r="O164" s="74" t="s">
        <v>221</v>
      </c>
      <c r="P164" s="74" t="s">
        <v>221</v>
      </c>
      <c r="Q164" s="81">
        <v>3626</v>
      </c>
      <c r="R164" s="74" t="s">
        <v>75</v>
      </c>
      <c r="S164" s="79">
        <f>(Q164-AA164)/Q164</f>
        <v>-0.19911748483177055</v>
      </c>
      <c r="T164" s="80">
        <f>AVERAGE(Q164:Q164)</f>
        <v>3626</v>
      </c>
      <c r="U164" s="81"/>
      <c r="V164" s="81"/>
      <c r="W164" s="81">
        <v>5170</v>
      </c>
      <c r="X164" s="81">
        <v>4198</v>
      </c>
      <c r="Y164" s="81">
        <v>4884</v>
      </c>
      <c r="Z164" s="81">
        <v>4228</v>
      </c>
      <c r="AA164" s="81">
        <v>4348</v>
      </c>
      <c r="AB164" s="80">
        <v>2374</v>
      </c>
      <c r="AC164" s="80" t="s">
        <v>75</v>
      </c>
      <c r="AD164" s="80">
        <f>Q164/100*75</f>
        <v>2719.5</v>
      </c>
      <c r="AE164" s="86">
        <v>1252</v>
      </c>
      <c r="AF164" s="80" t="s">
        <v>75</v>
      </c>
      <c r="AG164" s="81" t="s">
        <v>552</v>
      </c>
      <c r="AH164" s="86">
        <v>7</v>
      </c>
      <c r="AI164" s="86">
        <v>210</v>
      </c>
      <c r="AJ164" s="80" t="s">
        <v>75</v>
      </c>
      <c r="AK164" s="80">
        <v>0</v>
      </c>
      <c r="AL164" s="86">
        <v>0</v>
      </c>
      <c r="AM164" s="86">
        <v>0</v>
      </c>
      <c r="AN164" s="80" t="s">
        <v>75</v>
      </c>
      <c r="AO164" s="74">
        <v>17</v>
      </c>
      <c r="AP164" s="86">
        <v>490</v>
      </c>
      <c r="AQ164" s="80" t="s">
        <v>75</v>
      </c>
      <c r="AR164" s="74">
        <v>0</v>
      </c>
      <c r="AS164" s="86">
        <v>0</v>
      </c>
      <c r="AT164" s="80" t="s">
        <v>75</v>
      </c>
      <c r="AU164" s="80" t="s">
        <v>6</v>
      </c>
      <c r="AV164" s="80" t="s">
        <v>75</v>
      </c>
      <c r="AW164" s="86" t="s">
        <v>75</v>
      </c>
      <c r="AX164" s="80" t="s">
        <v>6</v>
      </c>
      <c r="AY164" s="88" t="s">
        <v>557</v>
      </c>
      <c r="AZ164" s="74" t="s">
        <v>6</v>
      </c>
      <c r="BA164" s="92">
        <v>3.8</v>
      </c>
      <c r="BB164" s="92">
        <v>3.05</v>
      </c>
      <c r="BC164" s="71" t="s">
        <v>75</v>
      </c>
      <c r="BD164" s="74" t="s">
        <v>75</v>
      </c>
      <c r="BE164" s="74">
        <v>40</v>
      </c>
      <c r="BF164" s="74" t="s">
        <v>611</v>
      </c>
      <c r="BG164" s="111" t="s">
        <v>75</v>
      </c>
      <c r="BH164" s="74" t="s">
        <v>75</v>
      </c>
      <c r="BI164" s="96"/>
      <c r="BJ164" s="111">
        <v>5000</v>
      </c>
      <c r="BK164" s="111" t="s">
        <v>611</v>
      </c>
      <c r="BL164" s="74" t="s">
        <v>75</v>
      </c>
      <c r="BM164" s="74" t="s">
        <v>75</v>
      </c>
      <c r="BN164" s="74" t="s">
        <v>75</v>
      </c>
      <c r="BO164" s="75" t="s">
        <v>611</v>
      </c>
      <c r="BP164" s="75" t="s">
        <v>611</v>
      </c>
      <c r="BQ164" s="104" t="s">
        <v>75</v>
      </c>
      <c r="BR164" s="104" t="s">
        <v>75</v>
      </c>
      <c r="BS164" s="71">
        <f>AD164/100*(47)*14.08</f>
        <v>17996.563200000001</v>
      </c>
      <c r="BT164" s="71">
        <f>AD164/100*(53)*28.16</f>
        <v>40587.993600000002</v>
      </c>
      <c r="BU164" s="71"/>
      <c r="BV164" s="96">
        <f t="shared" si="12"/>
        <v>58584.556800000006</v>
      </c>
      <c r="BW164" s="101"/>
      <c r="BX164" s="101">
        <f>SUBTOTAL(9,BM164,BW164)</f>
        <v>0</v>
      </c>
      <c r="BY164" s="28"/>
      <c r="BZ164" s="28"/>
    </row>
    <row r="165" spans="1:79" customFormat="1" ht="45" customHeight="1" x14ac:dyDescent="0.25">
      <c r="A165" s="18" t="s">
        <v>153</v>
      </c>
      <c r="B165" s="5">
        <v>858</v>
      </c>
      <c r="C165" s="8" t="s">
        <v>4</v>
      </c>
      <c r="D165" s="8" t="s">
        <v>5</v>
      </c>
      <c r="E165" s="76" t="s">
        <v>137</v>
      </c>
      <c r="F165" s="94"/>
      <c r="G165" s="77" t="s">
        <v>214</v>
      </c>
      <c r="H165" s="77"/>
      <c r="I165" s="8" t="s">
        <v>7</v>
      </c>
      <c r="J165" s="74" t="s">
        <v>7</v>
      </c>
      <c r="K165" s="74" t="s">
        <v>527</v>
      </c>
      <c r="L165" s="90" t="s">
        <v>599</v>
      </c>
      <c r="M165" s="81">
        <v>1700</v>
      </c>
      <c r="N165" s="74" t="s">
        <v>6</v>
      </c>
      <c r="O165" s="74" t="s">
        <v>6</v>
      </c>
      <c r="P165" s="74" t="s">
        <v>221</v>
      </c>
      <c r="Q165" s="81">
        <v>11528</v>
      </c>
      <c r="R165" s="74" t="s">
        <v>222</v>
      </c>
      <c r="S165" s="79"/>
      <c r="T165" s="80">
        <f>AVERAGE(Q165:Q165)</f>
        <v>11528</v>
      </c>
      <c r="U165" s="81"/>
      <c r="V165" s="81"/>
      <c r="W165" s="81"/>
      <c r="X165" s="81"/>
      <c r="Y165" s="81"/>
      <c r="Z165" s="81"/>
      <c r="AA165" s="81"/>
      <c r="AB165" s="80" t="s">
        <v>75</v>
      </c>
      <c r="AC165" s="80" t="s">
        <v>75</v>
      </c>
      <c r="AD165" s="80">
        <f>Q165/100*69</f>
        <v>7954.32</v>
      </c>
      <c r="AE165" s="86" t="s">
        <v>75</v>
      </c>
      <c r="AF165" s="80" t="s">
        <v>75</v>
      </c>
      <c r="AG165" s="81" t="s">
        <v>286</v>
      </c>
      <c r="AH165" s="86">
        <v>30</v>
      </c>
      <c r="AI165" s="86">
        <v>1700</v>
      </c>
      <c r="AJ165" s="80" t="s">
        <v>223</v>
      </c>
      <c r="AK165" s="80">
        <v>40</v>
      </c>
      <c r="AL165" s="86">
        <v>1500</v>
      </c>
      <c r="AM165" s="86">
        <v>37</v>
      </c>
      <c r="AN165" s="80" t="s">
        <v>223</v>
      </c>
      <c r="AO165" s="74">
        <v>50</v>
      </c>
      <c r="AP165" s="86">
        <v>500</v>
      </c>
      <c r="AQ165" s="80" t="s">
        <v>223</v>
      </c>
      <c r="AR165" s="74">
        <v>50</v>
      </c>
      <c r="AS165" s="86">
        <v>500</v>
      </c>
      <c r="AT165" s="80" t="s">
        <v>223</v>
      </c>
      <c r="AU165" s="80" t="s">
        <v>6</v>
      </c>
      <c r="AV165" s="80" t="s">
        <v>6</v>
      </c>
      <c r="AW165" s="86" t="s">
        <v>323</v>
      </c>
      <c r="AX165" s="80" t="s">
        <v>6</v>
      </c>
      <c r="AY165" s="88">
        <v>570</v>
      </c>
      <c r="AZ165" s="74" t="s">
        <v>6</v>
      </c>
      <c r="BA165" s="92">
        <v>3</v>
      </c>
      <c r="BB165" s="92">
        <v>1.5</v>
      </c>
      <c r="BC165" s="71" t="s">
        <v>221</v>
      </c>
      <c r="BD165" s="74">
        <v>60</v>
      </c>
      <c r="BE165" s="74"/>
      <c r="BF165" s="74"/>
      <c r="BG165" s="111">
        <v>7000</v>
      </c>
      <c r="BH165" s="74" t="s">
        <v>223</v>
      </c>
      <c r="BI165" s="96">
        <f t="shared" ref="BI165:BI178" si="17">BG165/7*50</f>
        <v>50000</v>
      </c>
      <c r="BJ165" s="111"/>
      <c r="BK165" s="111"/>
      <c r="BL165" s="74">
        <v>7</v>
      </c>
      <c r="BM165" s="74">
        <v>2.4</v>
      </c>
      <c r="BN165" s="74" t="s">
        <v>222</v>
      </c>
      <c r="BO165" s="74"/>
      <c r="BP165" s="74"/>
      <c r="BQ165" s="104" t="s">
        <v>573</v>
      </c>
      <c r="BR165" s="104" t="s">
        <v>574</v>
      </c>
      <c r="BS165" s="71">
        <f>AD165/100*(44)*14.08</f>
        <v>49278.603263999998</v>
      </c>
      <c r="BT165" s="71">
        <f>AD165/100*(56)*28.16</f>
        <v>125436.44467200001</v>
      </c>
      <c r="BU165" s="71">
        <v>51619.474999999999</v>
      </c>
      <c r="BV165" s="96">
        <f t="shared" si="12"/>
        <v>226334.52293600002</v>
      </c>
      <c r="BW165" s="101">
        <f>BM165*(1-0.25)*(1-0.26)*(1-0.25)*1.2</f>
        <v>1.1987999999999999</v>
      </c>
      <c r="BX165" s="101">
        <f>SUBTOTAL(9,BM165,BW165)</f>
        <v>3.5987999999999998</v>
      </c>
      <c r="BY165" s="28"/>
    </row>
    <row r="166" spans="1:79" customFormat="1" ht="90" x14ac:dyDescent="0.25">
      <c r="A166" s="117" t="s">
        <v>216</v>
      </c>
      <c r="B166" s="72" t="s">
        <v>523</v>
      </c>
      <c r="C166" s="8" t="s">
        <v>63</v>
      </c>
      <c r="D166" s="72" t="s">
        <v>5</v>
      </c>
      <c r="E166" s="72" t="s">
        <v>109</v>
      </c>
      <c r="F166" s="72"/>
      <c r="G166" s="72" t="s">
        <v>214</v>
      </c>
      <c r="H166" s="72"/>
      <c r="I166" s="74" t="s">
        <v>27</v>
      </c>
      <c r="J166" s="74" t="s">
        <v>27</v>
      </c>
      <c r="K166" s="74" t="s">
        <v>527</v>
      </c>
      <c r="L166" s="90" t="s">
        <v>601</v>
      </c>
      <c r="M166" s="81">
        <v>2500</v>
      </c>
      <c r="N166" s="74" t="s">
        <v>221</v>
      </c>
      <c r="O166" s="74" t="s">
        <v>221</v>
      </c>
      <c r="P166" s="74" t="s">
        <v>6</v>
      </c>
      <c r="Q166" s="81">
        <v>20000</v>
      </c>
      <c r="R166" s="74" t="s">
        <v>223</v>
      </c>
      <c r="S166" s="79"/>
      <c r="T166" s="80">
        <f>AVERAGE(Q166:Q166)</f>
        <v>20000</v>
      </c>
      <c r="U166" s="81"/>
      <c r="V166" s="81"/>
      <c r="W166" s="81"/>
      <c r="X166" s="81"/>
      <c r="Y166" s="81"/>
      <c r="Z166" s="81"/>
      <c r="AA166" s="81"/>
      <c r="AB166" s="80">
        <v>19500</v>
      </c>
      <c r="AC166" s="80" t="s">
        <v>223</v>
      </c>
      <c r="AD166" s="80">
        <f>Q166/100*69</f>
        <v>13800</v>
      </c>
      <c r="AE166" s="86">
        <v>500</v>
      </c>
      <c r="AF166" s="80" t="s">
        <v>223</v>
      </c>
      <c r="AG166" s="81" t="s">
        <v>221</v>
      </c>
      <c r="AH166" s="86">
        <v>20</v>
      </c>
      <c r="AI166" s="86">
        <v>700</v>
      </c>
      <c r="AJ166" s="80" t="s">
        <v>223</v>
      </c>
      <c r="AK166" s="80">
        <v>4</v>
      </c>
      <c r="AL166" s="86">
        <v>200</v>
      </c>
      <c r="AM166" s="86">
        <v>5</v>
      </c>
      <c r="AN166" s="80" t="s">
        <v>223</v>
      </c>
      <c r="AO166" s="74">
        <v>20</v>
      </c>
      <c r="AP166" s="86">
        <v>300</v>
      </c>
      <c r="AQ166" s="80" t="s">
        <v>223</v>
      </c>
      <c r="AR166" s="74">
        <v>3</v>
      </c>
      <c r="AS166" s="86">
        <v>50</v>
      </c>
      <c r="AT166" s="80" t="s">
        <v>223</v>
      </c>
      <c r="AU166" s="80" t="s">
        <v>6</v>
      </c>
      <c r="AV166" s="80" t="s">
        <v>6</v>
      </c>
      <c r="AW166" s="86">
        <v>25330</v>
      </c>
      <c r="AX166" s="80" t="s">
        <v>6</v>
      </c>
      <c r="AY166" s="88">
        <v>2770</v>
      </c>
      <c r="AZ166" s="74" t="s">
        <v>221</v>
      </c>
      <c r="BA166" s="92" t="s">
        <v>266</v>
      </c>
      <c r="BB166" s="92" t="s">
        <v>266</v>
      </c>
      <c r="BC166" s="71" t="s">
        <v>221</v>
      </c>
      <c r="BD166" s="74">
        <v>17</v>
      </c>
      <c r="BE166" s="74"/>
      <c r="BF166" s="74">
        <v>2</v>
      </c>
      <c r="BG166" s="111">
        <v>320</v>
      </c>
      <c r="BH166" s="74" t="s">
        <v>223</v>
      </c>
      <c r="BI166" s="96">
        <f t="shared" si="17"/>
        <v>2285.7142857142858</v>
      </c>
      <c r="BJ166" s="111"/>
      <c r="BK166" s="111">
        <v>60</v>
      </c>
      <c r="BL166" s="74">
        <v>7</v>
      </c>
      <c r="BM166" s="74">
        <v>4</v>
      </c>
      <c r="BN166" s="74" t="s">
        <v>223</v>
      </c>
      <c r="BO166" s="74">
        <v>2</v>
      </c>
      <c r="BP166" s="74">
        <v>2</v>
      </c>
      <c r="BQ166" s="104" t="s">
        <v>488</v>
      </c>
      <c r="BR166" s="104" t="s">
        <v>75</v>
      </c>
      <c r="BS166" s="71">
        <f>AD166/100*(44)*11.29</f>
        <v>68552.87999999999</v>
      </c>
      <c r="BT166" s="71">
        <f>AD166/100*(56)*22.59</f>
        <v>174575.52</v>
      </c>
      <c r="BU166" s="71"/>
      <c r="BV166" s="96">
        <f t="shared" si="12"/>
        <v>243128.39999999997</v>
      </c>
      <c r="BW166" s="101">
        <f>BM166*(1-0.25)*(1-0.26)*(1-0.25)*1.2</f>
        <v>1.9979999999999998</v>
      </c>
      <c r="BX166" s="101">
        <f>SUBTOTAL(9,BM166,BW166)</f>
        <v>5.9979999999999993</v>
      </c>
    </row>
    <row r="167" spans="1:79" customFormat="1" ht="45" customHeight="1" x14ac:dyDescent="0.25">
      <c r="A167" s="110" t="s">
        <v>37</v>
      </c>
      <c r="B167" s="5">
        <v>693</v>
      </c>
      <c r="C167" s="8" t="s">
        <v>30</v>
      </c>
      <c r="D167" s="8" t="s">
        <v>5</v>
      </c>
      <c r="E167" s="95" t="s">
        <v>25</v>
      </c>
      <c r="F167" s="78"/>
      <c r="G167" s="77" t="s">
        <v>6</v>
      </c>
      <c r="H167" s="77" t="s">
        <v>6</v>
      </c>
      <c r="I167" s="8" t="s">
        <v>27</v>
      </c>
      <c r="J167" s="75" t="s">
        <v>27</v>
      </c>
      <c r="K167" s="75" t="s">
        <v>390</v>
      </c>
      <c r="L167" s="122" t="s">
        <v>603</v>
      </c>
      <c r="M167" s="81">
        <v>0</v>
      </c>
      <c r="N167" s="74" t="s">
        <v>221</v>
      </c>
      <c r="O167" s="74" t="s">
        <v>221</v>
      </c>
      <c r="P167" s="74" t="s">
        <v>221</v>
      </c>
      <c r="Q167" s="81">
        <v>220</v>
      </c>
      <c r="R167" s="74" t="s">
        <v>222</v>
      </c>
      <c r="S167" s="79"/>
      <c r="T167" s="80"/>
      <c r="U167" s="81">
        <v>56112</v>
      </c>
      <c r="V167" s="81">
        <v>72321</v>
      </c>
      <c r="W167" s="81">
        <v>75029</v>
      </c>
      <c r="X167" s="81">
        <v>73268</v>
      </c>
      <c r="Y167" s="81">
        <v>74786</v>
      </c>
      <c r="Z167" s="81"/>
      <c r="AA167" s="81" t="s">
        <v>390</v>
      </c>
      <c r="AB167" s="80">
        <v>220</v>
      </c>
      <c r="AC167" s="80" t="s">
        <v>222</v>
      </c>
      <c r="AD167" s="80"/>
      <c r="AE167" s="86">
        <v>0</v>
      </c>
      <c r="AF167" s="80" t="s">
        <v>222</v>
      </c>
      <c r="AG167" s="81" t="s">
        <v>462</v>
      </c>
      <c r="AH167" s="86">
        <v>0</v>
      </c>
      <c r="AI167" s="86">
        <v>0</v>
      </c>
      <c r="AJ167" s="80" t="s">
        <v>222</v>
      </c>
      <c r="AK167" s="80">
        <v>4</v>
      </c>
      <c r="AL167" s="86">
        <v>121</v>
      </c>
      <c r="AM167" s="86">
        <v>3</v>
      </c>
      <c r="AN167" s="80" t="s">
        <v>222</v>
      </c>
      <c r="AO167" s="74">
        <v>0</v>
      </c>
      <c r="AP167" s="86">
        <v>0</v>
      </c>
      <c r="AQ167" s="80" t="s">
        <v>222</v>
      </c>
      <c r="AR167" s="74">
        <v>14</v>
      </c>
      <c r="AS167" s="86">
        <v>979</v>
      </c>
      <c r="AT167" s="80" t="s">
        <v>222</v>
      </c>
      <c r="AU167" s="80" t="s">
        <v>6</v>
      </c>
      <c r="AV167" s="80" t="s">
        <v>6</v>
      </c>
      <c r="AW167" s="86" t="s">
        <v>489</v>
      </c>
      <c r="AX167" s="80" t="s">
        <v>6</v>
      </c>
      <c r="AY167" s="88">
        <v>11717</v>
      </c>
      <c r="AZ167" s="74" t="s">
        <v>221</v>
      </c>
      <c r="BA167" s="92" t="s">
        <v>266</v>
      </c>
      <c r="BB167" s="92" t="s">
        <v>266</v>
      </c>
      <c r="BC167" s="71" t="s">
        <v>6</v>
      </c>
      <c r="BD167" s="74">
        <v>69</v>
      </c>
      <c r="BE167" s="74">
        <v>30</v>
      </c>
      <c r="BF167" s="74">
        <v>12</v>
      </c>
      <c r="BG167" s="111">
        <v>700</v>
      </c>
      <c r="BH167" s="74" t="s">
        <v>222</v>
      </c>
      <c r="BI167" s="96">
        <f t="shared" si="17"/>
        <v>5000</v>
      </c>
      <c r="BJ167" s="111">
        <v>3000</v>
      </c>
      <c r="BK167" s="111">
        <v>6780</v>
      </c>
      <c r="BL167" s="74">
        <v>19</v>
      </c>
      <c r="BM167" s="74">
        <v>10</v>
      </c>
      <c r="BN167" s="74" t="s">
        <v>222</v>
      </c>
      <c r="BO167" s="74">
        <v>10</v>
      </c>
      <c r="BP167" s="74">
        <v>5</v>
      </c>
      <c r="BQ167" s="104" t="s">
        <v>490</v>
      </c>
      <c r="BR167" s="104" t="s">
        <v>75</v>
      </c>
      <c r="BS167" s="71">
        <f>AD167/100*(47)*17.99</f>
        <v>0</v>
      </c>
      <c r="BT167" s="71">
        <f>AD167/100*(53)*35.98</f>
        <v>0</v>
      </c>
      <c r="BU167" s="71"/>
      <c r="BV167" s="96">
        <f t="shared" si="12"/>
        <v>0</v>
      </c>
      <c r="BW167" s="101"/>
      <c r="BX167" s="101">
        <f>SUBTOTAL(9,BM167,BW167)</f>
        <v>10</v>
      </c>
    </row>
    <row r="168" spans="1:79" customFormat="1" ht="105" x14ac:dyDescent="0.25">
      <c r="A168" s="18" t="s">
        <v>215</v>
      </c>
      <c r="B168" s="5">
        <v>577</v>
      </c>
      <c r="C168" s="8" t="s">
        <v>4</v>
      </c>
      <c r="D168" s="8" t="s">
        <v>5</v>
      </c>
      <c r="E168" s="95" t="s">
        <v>25</v>
      </c>
      <c r="F168" s="78"/>
      <c r="G168" s="77" t="s">
        <v>214</v>
      </c>
      <c r="H168" s="77"/>
      <c r="I168" s="8" t="s">
        <v>27</v>
      </c>
      <c r="J168" s="74" t="s">
        <v>27</v>
      </c>
      <c r="K168" s="74" t="s">
        <v>528</v>
      </c>
      <c r="L168" s="90" t="s">
        <v>599</v>
      </c>
      <c r="M168" s="81">
        <v>1744.5</v>
      </c>
      <c r="N168" s="74" t="s">
        <v>6</v>
      </c>
      <c r="O168" s="74" t="s">
        <v>221</v>
      </c>
      <c r="P168" s="74" t="s">
        <v>221</v>
      </c>
      <c r="Q168" s="81">
        <v>63686</v>
      </c>
      <c r="R168" s="74" t="s">
        <v>223</v>
      </c>
      <c r="S168" s="79"/>
      <c r="T168" s="80">
        <f t="shared" ref="T168:T178" si="18">AVERAGE(Q168:Q168)</f>
        <v>63686</v>
      </c>
      <c r="U168" s="81"/>
      <c r="V168" s="81"/>
      <c r="W168" s="81"/>
      <c r="X168" s="81"/>
      <c r="Y168" s="81">
        <v>49818</v>
      </c>
      <c r="Z168" s="81">
        <v>66076</v>
      </c>
      <c r="AA168" s="81"/>
      <c r="AB168" s="80">
        <v>59133</v>
      </c>
      <c r="AC168" s="80" t="s">
        <v>223</v>
      </c>
      <c r="AD168" s="80">
        <f>Q168/100*68</f>
        <v>43306.48</v>
      </c>
      <c r="AE168" s="86">
        <v>4553</v>
      </c>
      <c r="AF168" s="80" t="s">
        <v>223</v>
      </c>
      <c r="AG168" s="81" t="s">
        <v>221</v>
      </c>
      <c r="AH168" s="86" t="s">
        <v>492</v>
      </c>
      <c r="AI168" s="86" t="s">
        <v>493</v>
      </c>
      <c r="AJ168" s="80" t="s">
        <v>223</v>
      </c>
      <c r="AK168" s="80" t="s">
        <v>323</v>
      </c>
      <c r="AL168" s="86" t="s">
        <v>323</v>
      </c>
      <c r="AM168" s="86" t="s">
        <v>323</v>
      </c>
      <c r="AN168" s="80" t="s">
        <v>75</v>
      </c>
      <c r="AO168" s="74" t="s">
        <v>323</v>
      </c>
      <c r="AP168" s="86" t="s">
        <v>323</v>
      </c>
      <c r="AQ168" s="80" t="s">
        <v>75</v>
      </c>
      <c r="AR168" s="74" t="s">
        <v>323</v>
      </c>
      <c r="AS168" s="86" t="s">
        <v>323</v>
      </c>
      <c r="AT168" s="80" t="s">
        <v>75</v>
      </c>
      <c r="AU168" s="80" t="s">
        <v>6</v>
      </c>
      <c r="AV168" s="80" t="s">
        <v>6</v>
      </c>
      <c r="AW168" s="86">
        <v>43992</v>
      </c>
      <c r="AX168" s="80" t="s">
        <v>6</v>
      </c>
      <c r="AY168" s="88" t="s">
        <v>491</v>
      </c>
      <c r="AZ168" s="74" t="s">
        <v>221</v>
      </c>
      <c r="BA168" s="92" t="s">
        <v>266</v>
      </c>
      <c r="BB168" s="92" t="s">
        <v>266</v>
      </c>
      <c r="BC168" s="71" t="s">
        <v>221</v>
      </c>
      <c r="BD168" s="74">
        <v>128</v>
      </c>
      <c r="BE168" s="74">
        <v>64</v>
      </c>
      <c r="BF168" s="74"/>
      <c r="BG168" s="111">
        <v>9848</v>
      </c>
      <c r="BH168" s="74" t="s">
        <v>223</v>
      </c>
      <c r="BI168" s="96">
        <f t="shared" si="17"/>
        <v>70342.857142857145</v>
      </c>
      <c r="BJ168" s="111">
        <v>4226</v>
      </c>
      <c r="BK168" s="111"/>
      <c r="BL168" s="74">
        <v>33</v>
      </c>
      <c r="BM168" s="74">
        <v>22</v>
      </c>
      <c r="BN168" s="74" t="s">
        <v>223</v>
      </c>
      <c r="BO168" s="74"/>
      <c r="BP168" s="74"/>
      <c r="BQ168" s="104" t="s">
        <v>494</v>
      </c>
      <c r="BR168" s="104" t="s">
        <v>495</v>
      </c>
      <c r="BS168" s="71">
        <f>AD168/100*(31)*17.99</f>
        <v>241515.90831200001</v>
      </c>
      <c r="BT168" s="71">
        <f>AD168/100*(69)*35.98</f>
        <v>1075135.333776</v>
      </c>
      <c r="BU168" s="71">
        <v>486451.36562499998</v>
      </c>
      <c r="BV168" s="96">
        <f t="shared" si="12"/>
        <v>1803102.6077129999</v>
      </c>
      <c r="BW168" s="101">
        <f>BM168*(1-0.25)*(1-0.25)*(1-0.375)*1.2</f>
        <v>9.28125</v>
      </c>
      <c r="BX168" s="101">
        <f>SUBTOTAL(9,BM168,BW168)</f>
        <v>31.28125</v>
      </c>
    </row>
    <row r="169" spans="1:79" customFormat="1" ht="60" x14ac:dyDescent="0.25">
      <c r="A169" s="18" t="s">
        <v>120</v>
      </c>
      <c r="B169" s="5">
        <v>724</v>
      </c>
      <c r="C169" s="8" t="s">
        <v>4</v>
      </c>
      <c r="D169" s="8" t="s">
        <v>5</v>
      </c>
      <c r="E169" s="8" t="s">
        <v>109</v>
      </c>
      <c r="F169" s="8" t="s">
        <v>121</v>
      </c>
      <c r="G169" s="77" t="s">
        <v>214</v>
      </c>
      <c r="H169" s="77" t="s">
        <v>6</v>
      </c>
      <c r="I169" s="8" t="s">
        <v>9</v>
      </c>
      <c r="J169" s="74" t="s">
        <v>9</v>
      </c>
      <c r="K169" s="74" t="s">
        <v>528</v>
      </c>
      <c r="L169" s="90" t="s">
        <v>599</v>
      </c>
      <c r="M169" s="81">
        <v>2530</v>
      </c>
      <c r="N169" s="74" t="s">
        <v>6</v>
      </c>
      <c r="O169" s="74" t="s">
        <v>221</v>
      </c>
      <c r="P169" s="74" t="s">
        <v>221</v>
      </c>
      <c r="Q169" s="81">
        <v>143924</v>
      </c>
      <c r="R169" s="74" t="s">
        <v>222</v>
      </c>
      <c r="S169" s="79">
        <f>(Q169-AA169)/Q169</f>
        <v>0.47994080208999196</v>
      </c>
      <c r="T169" s="80">
        <f t="shared" si="18"/>
        <v>143924</v>
      </c>
      <c r="U169" s="81"/>
      <c r="V169" s="81"/>
      <c r="W169" s="81">
        <v>81160</v>
      </c>
      <c r="X169" s="81">
        <v>89825</v>
      </c>
      <c r="Y169" s="81">
        <v>98825</v>
      </c>
      <c r="Z169" s="81">
        <v>88706</v>
      </c>
      <c r="AA169" s="81">
        <v>74849</v>
      </c>
      <c r="AB169" s="80">
        <v>64766</v>
      </c>
      <c r="AC169" s="80" t="s">
        <v>223</v>
      </c>
      <c r="AD169" s="80">
        <f>Q169/100*68</f>
        <v>97868.32</v>
      </c>
      <c r="AE169" s="86">
        <v>79158</v>
      </c>
      <c r="AF169" s="80" t="s">
        <v>223</v>
      </c>
      <c r="AG169" s="81" t="s">
        <v>75</v>
      </c>
      <c r="AH169" s="86">
        <v>948</v>
      </c>
      <c r="AI169" s="86">
        <v>26923</v>
      </c>
      <c r="AJ169" s="80" t="s">
        <v>222</v>
      </c>
      <c r="AK169" s="80">
        <v>46</v>
      </c>
      <c r="AL169" s="86">
        <v>1380</v>
      </c>
      <c r="AM169" s="86">
        <v>600</v>
      </c>
      <c r="AN169" s="80" t="s">
        <v>222</v>
      </c>
      <c r="AO169" s="74">
        <v>114</v>
      </c>
      <c r="AP169" s="86">
        <v>3379</v>
      </c>
      <c r="AQ169" s="80" t="s">
        <v>223</v>
      </c>
      <c r="AR169" s="74">
        <v>20</v>
      </c>
      <c r="AS169" s="86">
        <v>400</v>
      </c>
      <c r="AT169" s="80" t="s">
        <v>223</v>
      </c>
      <c r="AU169" s="80" t="s">
        <v>6</v>
      </c>
      <c r="AV169" s="80" t="s">
        <v>6</v>
      </c>
      <c r="AW169" s="86">
        <v>72106</v>
      </c>
      <c r="AX169" s="80" t="s">
        <v>6</v>
      </c>
      <c r="AY169" s="88" t="s">
        <v>435</v>
      </c>
      <c r="AZ169" s="74" t="s">
        <v>6</v>
      </c>
      <c r="BA169" s="92">
        <v>5</v>
      </c>
      <c r="BB169" s="92">
        <v>2.5</v>
      </c>
      <c r="BC169" s="71" t="s">
        <v>221</v>
      </c>
      <c r="BD169" s="74">
        <v>113</v>
      </c>
      <c r="BE169" s="74">
        <v>40</v>
      </c>
      <c r="BF169" s="74">
        <v>112</v>
      </c>
      <c r="BG169" s="111">
        <v>3630</v>
      </c>
      <c r="BH169" s="74" t="s">
        <v>222</v>
      </c>
      <c r="BI169" s="96">
        <f t="shared" si="17"/>
        <v>25928.571428571428</v>
      </c>
      <c r="BJ169" s="111">
        <v>42824</v>
      </c>
      <c r="BK169" s="111">
        <v>4712</v>
      </c>
      <c r="BL169" s="74">
        <v>35</v>
      </c>
      <c r="BM169" s="74">
        <v>23</v>
      </c>
      <c r="BN169" s="74" t="s">
        <v>222</v>
      </c>
      <c r="BO169" s="74">
        <v>35</v>
      </c>
      <c r="BP169" s="74">
        <v>23</v>
      </c>
      <c r="BQ169" s="104" t="s">
        <v>436</v>
      </c>
      <c r="BR169" s="104" t="s">
        <v>75</v>
      </c>
      <c r="BS169" s="71">
        <f>AD169/100*(31)*11.29</f>
        <v>342529.33316799998</v>
      </c>
      <c r="BT169" s="71">
        <f>AD169/100*(69)*22.59</f>
        <v>1525483.2906720003</v>
      </c>
      <c r="BU169" s="71">
        <v>647538.11937500001</v>
      </c>
      <c r="BV169" s="96">
        <f t="shared" si="12"/>
        <v>2515550.7432150003</v>
      </c>
      <c r="BW169" s="101">
        <f>BM169*(1-0.25)*(1-0.25)*(1-0.375)*1.2</f>
        <v>9.703125</v>
      </c>
      <c r="BX169" s="101">
        <f>SUBTOTAL(9,BM169,BW169)</f>
        <v>32.703125</v>
      </c>
    </row>
    <row r="170" spans="1:79" customFormat="1" ht="45" customHeight="1" x14ac:dyDescent="0.25">
      <c r="A170" s="117" t="s">
        <v>217</v>
      </c>
      <c r="B170" s="72"/>
      <c r="C170" s="8" t="s">
        <v>105</v>
      </c>
      <c r="D170" s="8" t="s">
        <v>5</v>
      </c>
      <c r="E170" s="72" t="s">
        <v>137</v>
      </c>
      <c r="F170" s="72"/>
      <c r="G170" s="72" t="s">
        <v>214</v>
      </c>
      <c r="H170" s="72"/>
      <c r="I170" s="74" t="s">
        <v>7</v>
      </c>
      <c r="J170" s="72" t="s">
        <v>7</v>
      </c>
      <c r="K170" s="72" t="s">
        <v>527</v>
      </c>
      <c r="L170" s="85" t="s">
        <v>600</v>
      </c>
      <c r="M170" s="112">
        <v>1367</v>
      </c>
      <c r="N170" s="74" t="s">
        <v>6</v>
      </c>
      <c r="O170" s="74" t="s">
        <v>221</v>
      </c>
      <c r="P170" s="74" t="s">
        <v>221</v>
      </c>
      <c r="Q170" s="112">
        <v>18168</v>
      </c>
      <c r="R170" s="74" t="s">
        <v>222</v>
      </c>
      <c r="S170" s="79"/>
      <c r="T170" s="72">
        <f t="shared" si="18"/>
        <v>18168</v>
      </c>
      <c r="U170" s="85"/>
      <c r="V170" s="85"/>
      <c r="W170" s="85"/>
      <c r="X170" s="85"/>
      <c r="Y170" s="85"/>
      <c r="Z170" s="85"/>
      <c r="AA170" s="85"/>
      <c r="AB170" s="72">
        <v>16306</v>
      </c>
      <c r="AC170" s="72" t="s">
        <v>222</v>
      </c>
      <c r="AD170" s="72">
        <f>Q170/100*69</f>
        <v>12535.92</v>
      </c>
      <c r="AE170" s="87">
        <v>1862</v>
      </c>
      <c r="AF170" s="72" t="s">
        <v>222</v>
      </c>
      <c r="AG170" s="85" t="s">
        <v>75</v>
      </c>
      <c r="AH170" s="87">
        <v>18</v>
      </c>
      <c r="AI170" s="87">
        <v>680</v>
      </c>
      <c r="AJ170" s="72" t="s">
        <v>222</v>
      </c>
      <c r="AK170" s="72">
        <v>0</v>
      </c>
      <c r="AL170" s="87">
        <v>0</v>
      </c>
      <c r="AM170" s="87">
        <v>16</v>
      </c>
      <c r="AN170" s="72" t="s">
        <v>222</v>
      </c>
      <c r="AO170" s="74">
        <v>0</v>
      </c>
      <c r="AP170" s="87">
        <v>0</v>
      </c>
      <c r="AQ170" s="72" t="s">
        <v>222</v>
      </c>
      <c r="AR170" s="74">
        <v>0</v>
      </c>
      <c r="AS170" s="87">
        <v>0</v>
      </c>
      <c r="AT170" s="72" t="s">
        <v>222</v>
      </c>
      <c r="AU170" s="72" t="s">
        <v>6</v>
      </c>
      <c r="AV170" s="72" t="s">
        <v>6</v>
      </c>
      <c r="AW170" s="87">
        <v>24158</v>
      </c>
      <c r="AX170" s="72" t="s">
        <v>6</v>
      </c>
      <c r="AY170" s="99">
        <v>2646</v>
      </c>
      <c r="AZ170" s="74" t="s">
        <v>6</v>
      </c>
      <c r="BA170" s="92">
        <v>5</v>
      </c>
      <c r="BB170" s="92">
        <v>2.5</v>
      </c>
      <c r="BC170" s="71" t="s">
        <v>221</v>
      </c>
      <c r="BD170" s="74">
        <v>0</v>
      </c>
      <c r="BE170" s="74"/>
      <c r="BF170" s="74"/>
      <c r="BG170" s="111">
        <v>0</v>
      </c>
      <c r="BH170" s="74" t="s">
        <v>222</v>
      </c>
      <c r="BI170" s="96">
        <f t="shared" si="17"/>
        <v>0</v>
      </c>
      <c r="BJ170" s="111"/>
      <c r="BK170" s="111"/>
      <c r="BL170" s="74">
        <v>5</v>
      </c>
      <c r="BM170" s="74">
        <v>1.2</v>
      </c>
      <c r="BN170" s="74" t="s">
        <v>222</v>
      </c>
      <c r="BO170" s="72"/>
      <c r="BP170" s="72"/>
      <c r="BQ170" s="104" t="s">
        <v>75</v>
      </c>
      <c r="BR170" s="104" t="s">
        <v>75</v>
      </c>
      <c r="BS170" s="71">
        <f>AD170/100*(44)*14.08</f>
        <v>77662.531583999997</v>
      </c>
      <c r="BT170" s="71">
        <f>AD170/100*(56)*28.16</f>
        <v>197686.444032</v>
      </c>
      <c r="BU170" s="71">
        <v>96028.487500000003</v>
      </c>
      <c r="BV170" s="96">
        <f t="shared" si="12"/>
        <v>371377.463116</v>
      </c>
      <c r="BW170" s="101">
        <f>BM170*(1-0.25)*(1-0.26)*(1-0.25)*1.2</f>
        <v>0.59939999999999993</v>
      </c>
      <c r="BX170" s="101">
        <f>SUBTOTAL(9,BM170,BW170)</f>
        <v>1.7993999999999999</v>
      </c>
    </row>
    <row r="171" spans="1:79" customFormat="1" ht="45" customHeight="1" x14ac:dyDescent="0.25">
      <c r="A171" s="110" t="s">
        <v>18</v>
      </c>
      <c r="B171" s="5">
        <v>660</v>
      </c>
      <c r="C171" s="8" t="s">
        <v>4</v>
      </c>
      <c r="D171" s="8" t="s">
        <v>5</v>
      </c>
      <c r="E171" s="8" t="s">
        <v>11</v>
      </c>
      <c r="F171" s="8" t="s">
        <v>16</v>
      </c>
      <c r="G171" s="77" t="s">
        <v>6</v>
      </c>
      <c r="H171" s="77" t="s">
        <v>6</v>
      </c>
      <c r="I171" s="8" t="s">
        <v>7</v>
      </c>
      <c r="J171" s="74"/>
      <c r="K171" s="74" t="s">
        <v>390</v>
      </c>
      <c r="L171" s="90" t="s">
        <v>603</v>
      </c>
      <c r="M171" s="81"/>
      <c r="N171" s="74"/>
      <c r="O171" s="74"/>
      <c r="P171" s="74"/>
      <c r="Q171" s="81" t="s">
        <v>390</v>
      </c>
      <c r="R171" s="74"/>
      <c r="S171" s="79"/>
      <c r="T171" s="80" t="e">
        <f t="shared" si="18"/>
        <v>#DIV/0!</v>
      </c>
      <c r="U171" s="81"/>
      <c r="V171" s="81"/>
      <c r="W171" s="81">
        <v>63805</v>
      </c>
      <c r="X171" s="81">
        <v>62198</v>
      </c>
      <c r="Y171" s="81">
        <v>41730</v>
      </c>
      <c r="Z171" s="81">
        <v>42407</v>
      </c>
      <c r="AA171" s="81">
        <v>35962</v>
      </c>
      <c r="AB171" s="80"/>
      <c r="AC171" s="80"/>
      <c r="AD171" s="80"/>
      <c r="AE171" s="86"/>
      <c r="AF171" s="80"/>
      <c r="AG171" s="81"/>
      <c r="AH171" s="86"/>
      <c r="AI171" s="86"/>
      <c r="AJ171" s="80"/>
      <c r="AK171" s="80"/>
      <c r="AL171" s="86"/>
      <c r="AM171" s="86"/>
      <c r="AN171" s="80"/>
      <c r="AO171" s="74"/>
      <c r="AP171" s="86"/>
      <c r="AQ171" s="80"/>
      <c r="AR171" s="74"/>
      <c r="AS171" s="86"/>
      <c r="AT171" s="80"/>
      <c r="AU171" s="80" t="s">
        <v>6</v>
      </c>
      <c r="AV171" s="80"/>
      <c r="AW171" s="86"/>
      <c r="AX171" s="80"/>
      <c r="AY171" s="88"/>
      <c r="AZ171" s="74" t="s">
        <v>390</v>
      </c>
      <c r="BA171" s="92"/>
      <c r="BB171" s="92"/>
      <c r="BC171" s="71"/>
      <c r="BD171" s="74"/>
      <c r="BE171" s="74">
        <v>78</v>
      </c>
      <c r="BF171" s="74">
        <v>47.5</v>
      </c>
      <c r="BG171" s="111"/>
      <c r="BH171" s="74"/>
      <c r="BI171" s="96">
        <f t="shared" si="17"/>
        <v>0</v>
      </c>
      <c r="BJ171" s="111">
        <v>4737.5</v>
      </c>
      <c r="BK171" s="111">
        <v>4060.6</v>
      </c>
      <c r="BL171" s="74"/>
      <c r="BM171" s="74"/>
      <c r="BN171" s="74"/>
      <c r="BO171" s="74" t="s">
        <v>621</v>
      </c>
      <c r="BP171" s="74" t="s">
        <v>621</v>
      </c>
      <c r="BQ171" s="104"/>
      <c r="BR171" s="104"/>
      <c r="BS171" s="71">
        <f>AD171/100*(44)*8.9</f>
        <v>0</v>
      </c>
      <c r="BT171" s="71">
        <f>AD171/100*(56)*17.79</f>
        <v>0</v>
      </c>
      <c r="BU171" s="71"/>
      <c r="BV171" s="96">
        <f t="shared" si="12"/>
        <v>0</v>
      </c>
      <c r="BW171" s="101">
        <f>BM171*(1-0.25)*(1-0.26)*(1-0.25)*1.2</f>
        <v>0</v>
      </c>
      <c r="BX171" s="101">
        <f>SUBTOTAL(9,BM171,BW171)</f>
        <v>0</v>
      </c>
    </row>
    <row r="172" spans="1:79" customFormat="1" ht="75" x14ac:dyDescent="0.25">
      <c r="A172" s="18" t="s">
        <v>124</v>
      </c>
      <c r="B172" s="5">
        <v>805</v>
      </c>
      <c r="C172" s="8" t="s">
        <v>4</v>
      </c>
      <c r="D172" s="8" t="s">
        <v>5</v>
      </c>
      <c r="E172" s="8" t="s">
        <v>109</v>
      </c>
      <c r="F172" s="8"/>
      <c r="G172" s="77" t="s">
        <v>6</v>
      </c>
      <c r="H172" s="77" t="s">
        <v>6</v>
      </c>
      <c r="I172" s="8" t="s">
        <v>7</v>
      </c>
      <c r="J172" s="74" t="s">
        <v>7</v>
      </c>
      <c r="K172" s="74" t="s">
        <v>526</v>
      </c>
      <c r="L172" s="90" t="s">
        <v>599</v>
      </c>
      <c r="M172" s="81">
        <v>867</v>
      </c>
      <c r="N172" s="74" t="s">
        <v>6</v>
      </c>
      <c r="O172" s="74" t="s">
        <v>221</v>
      </c>
      <c r="P172" s="74" t="s">
        <v>221</v>
      </c>
      <c r="Q172" s="81">
        <v>7090</v>
      </c>
      <c r="R172" s="74" t="s">
        <v>222</v>
      </c>
      <c r="S172" s="79">
        <f>(Q172-AA172)/Q172</f>
        <v>-8.4626234132581094E-2</v>
      </c>
      <c r="T172" s="80">
        <f t="shared" si="18"/>
        <v>7090</v>
      </c>
      <c r="U172" s="81">
        <v>7697</v>
      </c>
      <c r="V172" s="81">
        <v>8752</v>
      </c>
      <c r="W172" s="81">
        <v>9278</v>
      </c>
      <c r="X172" s="81">
        <v>7845</v>
      </c>
      <c r="Y172" s="81">
        <v>21838</v>
      </c>
      <c r="Z172" s="81">
        <v>8481</v>
      </c>
      <c r="AA172" s="81">
        <v>7690</v>
      </c>
      <c r="AB172" s="80">
        <v>5318</v>
      </c>
      <c r="AC172" s="80" t="s">
        <v>222</v>
      </c>
      <c r="AD172" s="80">
        <f>Q172/100*75</f>
        <v>5317.5</v>
      </c>
      <c r="AE172" s="86">
        <v>1772</v>
      </c>
      <c r="AF172" s="80" t="s">
        <v>222</v>
      </c>
      <c r="AG172" s="81" t="s">
        <v>221</v>
      </c>
      <c r="AH172" s="86">
        <v>13</v>
      </c>
      <c r="AI172" s="86">
        <v>579</v>
      </c>
      <c r="AJ172" s="80" t="s">
        <v>222</v>
      </c>
      <c r="AK172" s="80">
        <v>3</v>
      </c>
      <c r="AL172" s="86">
        <v>75</v>
      </c>
      <c r="AM172" s="86">
        <v>13</v>
      </c>
      <c r="AN172" s="80" t="s">
        <v>222</v>
      </c>
      <c r="AO172" s="74">
        <v>7</v>
      </c>
      <c r="AP172" s="86">
        <v>100</v>
      </c>
      <c r="AQ172" s="80" t="s">
        <v>223</v>
      </c>
      <c r="AR172" s="74">
        <v>0</v>
      </c>
      <c r="AS172" s="86">
        <v>0</v>
      </c>
      <c r="AT172" s="80" t="s">
        <v>222</v>
      </c>
      <c r="AU172" s="80" t="s">
        <v>6</v>
      </c>
      <c r="AV172" s="80" t="s">
        <v>6</v>
      </c>
      <c r="AW172" s="86">
        <v>4999</v>
      </c>
      <c r="AX172" s="80" t="s">
        <v>221</v>
      </c>
      <c r="AY172" s="88">
        <v>0</v>
      </c>
      <c r="AZ172" s="74" t="s">
        <v>221</v>
      </c>
      <c r="BA172" s="92" t="s">
        <v>266</v>
      </c>
      <c r="BB172" s="92" t="s">
        <v>266</v>
      </c>
      <c r="BC172" s="71" t="s">
        <v>221</v>
      </c>
      <c r="BD172" s="74">
        <v>35</v>
      </c>
      <c r="BE172" s="74">
        <v>50</v>
      </c>
      <c r="BF172" s="74">
        <v>50</v>
      </c>
      <c r="BG172" s="111">
        <v>2442</v>
      </c>
      <c r="BH172" s="74" t="s">
        <v>222</v>
      </c>
      <c r="BI172" s="96">
        <f t="shared" si="17"/>
        <v>17442.857142857141</v>
      </c>
      <c r="BJ172" s="111">
        <v>4000</v>
      </c>
      <c r="BK172" s="111">
        <v>5000</v>
      </c>
      <c r="BL172" s="74">
        <v>0</v>
      </c>
      <c r="BM172" s="74">
        <v>0</v>
      </c>
      <c r="BN172" s="74" t="s">
        <v>222</v>
      </c>
      <c r="BO172" s="74">
        <v>0</v>
      </c>
      <c r="BP172" s="74">
        <v>0</v>
      </c>
      <c r="BQ172" s="104" t="s">
        <v>485</v>
      </c>
      <c r="BR172" s="104" t="s">
        <v>486</v>
      </c>
      <c r="BS172" s="71">
        <f>AD172/100*(47)*11.29</f>
        <v>28216.250249999997</v>
      </c>
      <c r="BT172" s="71">
        <f>AD172/100*(53)*22.59</f>
        <v>63664.832249999992</v>
      </c>
      <c r="BU172" s="71"/>
      <c r="BV172" s="96">
        <f t="shared" si="12"/>
        <v>91881.08249999999</v>
      </c>
      <c r="BW172" s="101">
        <f>BM172*(1-0.25)*(1-0.21)*(1-0.25)*1.2</f>
        <v>0</v>
      </c>
      <c r="BX172" s="101">
        <f>SUBTOTAL(9,BM172,BW172)</f>
        <v>0</v>
      </c>
    </row>
    <row r="173" spans="1:79" customFormat="1" ht="90" x14ac:dyDescent="0.25">
      <c r="A173" s="18" t="s">
        <v>101</v>
      </c>
      <c r="B173" s="5">
        <v>2175</v>
      </c>
      <c r="C173" s="8" t="s">
        <v>4</v>
      </c>
      <c r="D173" s="8" t="s">
        <v>5</v>
      </c>
      <c r="E173" s="8" t="s">
        <v>68</v>
      </c>
      <c r="F173" s="8" t="s">
        <v>88</v>
      </c>
      <c r="G173" s="8" t="s">
        <v>214</v>
      </c>
      <c r="H173" s="8" t="s">
        <v>6</v>
      </c>
      <c r="I173" s="8" t="s">
        <v>7</v>
      </c>
      <c r="J173" s="74" t="s">
        <v>7</v>
      </c>
      <c r="K173" s="74" t="s">
        <v>526</v>
      </c>
      <c r="L173" s="90" t="s">
        <v>599</v>
      </c>
      <c r="M173" s="81" t="s">
        <v>586</v>
      </c>
      <c r="N173" s="74" t="s">
        <v>6</v>
      </c>
      <c r="O173" s="74" t="s">
        <v>221</v>
      </c>
      <c r="P173" s="74" t="s">
        <v>221</v>
      </c>
      <c r="Q173" s="81">
        <v>1742</v>
      </c>
      <c r="R173" s="74" t="s">
        <v>222</v>
      </c>
      <c r="S173" s="79"/>
      <c r="T173" s="80">
        <f t="shared" si="18"/>
        <v>1742</v>
      </c>
      <c r="U173" s="81"/>
      <c r="V173" s="81"/>
      <c r="W173" s="81"/>
      <c r="X173" s="81"/>
      <c r="Y173" s="81"/>
      <c r="Z173" s="81"/>
      <c r="AA173" s="81"/>
      <c r="AB173" s="80">
        <v>1682</v>
      </c>
      <c r="AC173" s="80" t="s">
        <v>222</v>
      </c>
      <c r="AD173" s="80">
        <f>Q173/100*75</f>
        <v>1306.5000000000002</v>
      </c>
      <c r="AE173" s="86">
        <v>60</v>
      </c>
      <c r="AF173" s="80" t="s">
        <v>222</v>
      </c>
      <c r="AG173" s="81" t="s">
        <v>263</v>
      </c>
      <c r="AH173" s="86">
        <v>2</v>
      </c>
      <c r="AI173" s="86">
        <v>60</v>
      </c>
      <c r="AJ173" s="80" t="s">
        <v>222</v>
      </c>
      <c r="AK173" s="80">
        <v>0</v>
      </c>
      <c r="AL173" s="86">
        <v>0</v>
      </c>
      <c r="AM173" s="86">
        <v>2</v>
      </c>
      <c r="AN173" s="80" t="s">
        <v>222</v>
      </c>
      <c r="AO173" s="74">
        <v>26</v>
      </c>
      <c r="AP173" s="86">
        <v>634</v>
      </c>
      <c r="AQ173" s="80" t="s">
        <v>222</v>
      </c>
      <c r="AR173" s="74">
        <v>5</v>
      </c>
      <c r="AS173" s="86">
        <v>167</v>
      </c>
      <c r="AT173" s="80" t="s">
        <v>222</v>
      </c>
      <c r="AU173" s="80" t="s">
        <v>6</v>
      </c>
      <c r="AV173" s="80" t="s">
        <v>6</v>
      </c>
      <c r="AW173" s="86">
        <v>20364</v>
      </c>
      <c r="AX173" s="80" t="s">
        <v>6</v>
      </c>
      <c r="AY173" s="88">
        <v>3669</v>
      </c>
      <c r="AZ173" s="74" t="s">
        <v>6</v>
      </c>
      <c r="BA173" s="92">
        <v>4</v>
      </c>
      <c r="BB173" s="92">
        <v>2</v>
      </c>
      <c r="BC173" s="71" t="s">
        <v>221</v>
      </c>
      <c r="BD173" s="74">
        <v>15</v>
      </c>
      <c r="BE173" s="74"/>
      <c r="BF173" s="74"/>
      <c r="BG173" s="111">
        <v>1191</v>
      </c>
      <c r="BH173" s="74" t="s">
        <v>223</v>
      </c>
      <c r="BI173" s="96">
        <f t="shared" si="17"/>
        <v>8507.1428571428569</v>
      </c>
      <c r="BJ173" s="111"/>
      <c r="BK173" s="111"/>
      <c r="BL173" s="74">
        <v>5</v>
      </c>
      <c r="BM173" s="74">
        <v>2.92</v>
      </c>
      <c r="BN173" s="74" t="s">
        <v>222</v>
      </c>
      <c r="BO173" s="74"/>
      <c r="BP173" s="74"/>
      <c r="BQ173" s="104" t="s">
        <v>587</v>
      </c>
      <c r="BR173" s="104" t="s">
        <v>75</v>
      </c>
      <c r="BS173" s="71">
        <f>AD173/100*(47)*12.91</f>
        <v>7927.4500500000022</v>
      </c>
      <c r="BT173" s="71">
        <f>AD173/100*(53)*25.82</f>
        <v>17878.929900000003</v>
      </c>
      <c r="BU173" s="71">
        <v>39267.646249999998</v>
      </c>
      <c r="BV173" s="96">
        <f t="shared" si="12"/>
        <v>65074.026200000008</v>
      </c>
      <c r="BW173" s="101">
        <f>BM173*(1-0.25)*(1-0.21)*(1-0.25)*1.2</f>
        <v>1.5570899999999999</v>
      </c>
      <c r="BX173" s="101">
        <f>SUBTOTAL(9,BM173,BW173)</f>
        <v>4.4770899999999996</v>
      </c>
      <c r="BY173" s="28"/>
      <c r="BZ173" s="28"/>
      <c r="CA173" s="28"/>
    </row>
    <row r="174" spans="1:79" customFormat="1" ht="60" x14ac:dyDescent="0.25">
      <c r="A174" s="18" t="s">
        <v>117</v>
      </c>
      <c r="B174" s="5">
        <v>657</v>
      </c>
      <c r="C174" s="8" t="s">
        <v>4</v>
      </c>
      <c r="D174" s="8" t="s">
        <v>5</v>
      </c>
      <c r="E174" s="8" t="s">
        <v>109</v>
      </c>
      <c r="F174" s="8"/>
      <c r="G174" s="77" t="s">
        <v>6</v>
      </c>
      <c r="H174" s="77" t="s">
        <v>6</v>
      </c>
      <c r="I174" s="8" t="s">
        <v>9</v>
      </c>
      <c r="J174" s="74" t="s">
        <v>9</v>
      </c>
      <c r="K174" s="74" t="s">
        <v>526</v>
      </c>
      <c r="L174" s="90" t="s">
        <v>599</v>
      </c>
      <c r="M174" s="81">
        <v>1155</v>
      </c>
      <c r="N174" s="74" t="s">
        <v>6</v>
      </c>
      <c r="O174" s="74" t="s">
        <v>6</v>
      </c>
      <c r="P174" s="74" t="s">
        <v>221</v>
      </c>
      <c r="Q174" s="81" t="s">
        <v>496</v>
      </c>
      <c r="R174" s="74" t="s">
        <v>223</v>
      </c>
      <c r="S174" s="79"/>
      <c r="T174" s="80" t="e">
        <f t="shared" si="18"/>
        <v>#DIV/0!</v>
      </c>
      <c r="U174" s="81">
        <v>9132</v>
      </c>
      <c r="V174" s="81">
        <v>9795</v>
      </c>
      <c r="W174" s="81">
        <v>8553</v>
      </c>
      <c r="X174" s="81">
        <v>9399</v>
      </c>
      <c r="Y174" s="81">
        <v>9312</v>
      </c>
      <c r="Z174" s="81">
        <v>10093</v>
      </c>
      <c r="AA174" s="81">
        <v>8323</v>
      </c>
      <c r="AB174" s="80" t="s">
        <v>496</v>
      </c>
      <c r="AC174" s="80" t="s">
        <v>223</v>
      </c>
      <c r="AD174" s="80"/>
      <c r="AE174" s="86" t="s">
        <v>75</v>
      </c>
      <c r="AF174" s="80" t="s">
        <v>75</v>
      </c>
      <c r="AG174" s="81" t="s">
        <v>497</v>
      </c>
      <c r="AH174" s="86">
        <v>32</v>
      </c>
      <c r="AI174" s="86">
        <v>796</v>
      </c>
      <c r="AJ174" s="80" t="s">
        <v>222</v>
      </c>
      <c r="AK174" s="80">
        <v>20</v>
      </c>
      <c r="AL174" s="86">
        <v>400</v>
      </c>
      <c r="AM174" s="86">
        <v>8</v>
      </c>
      <c r="AN174" s="80" t="s">
        <v>223</v>
      </c>
      <c r="AO174" s="74">
        <v>5</v>
      </c>
      <c r="AP174" s="86">
        <v>107</v>
      </c>
      <c r="AQ174" s="80" t="s">
        <v>222</v>
      </c>
      <c r="AR174" s="74" t="s">
        <v>75</v>
      </c>
      <c r="AS174" s="86" t="s">
        <v>75</v>
      </c>
      <c r="AT174" s="80" t="s">
        <v>223</v>
      </c>
      <c r="AU174" s="80" t="s">
        <v>6</v>
      </c>
      <c r="AV174" s="80" t="s">
        <v>6</v>
      </c>
      <c r="AW174" s="86" t="s">
        <v>264</v>
      </c>
      <c r="AX174" s="80" t="s">
        <v>6</v>
      </c>
      <c r="AY174" s="88">
        <v>1499</v>
      </c>
      <c r="AZ174" s="74" t="s">
        <v>221</v>
      </c>
      <c r="BA174" s="92" t="s">
        <v>266</v>
      </c>
      <c r="BB174" s="92" t="s">
        <v>266</v>
      </c>
      <c r="BC174" s="71" t="s">
        <v>221</v>
      </c>
      <c r="BD174" s="74">
        <v>15</v>
      </c>
      <c r="BE174" s="74">
        <v>30</v>
      </c>
      <c r="BF174" s="74">
        <v>15</v>
      </c>
      <c r="BG174" s="111">
        <v>2880</v>
      </c>
      <c r="BH174" s="74" t="s">
        <v>223</v>
      </c>
      <c r="BI174" s="96">
        <f t="shared" si="17"/>
        <v>20571.428571428572</v>
      </c>
      <c r="BJ174" s="111">
        <v>5000</v>
      </c>
      <c r="BK174" s="111">
        <v>2745</v>
      </c>
      <c r="BL174" s="74">
        <v>6</v>
      </c>
      <c r="BM174" s="74">
        <v>3.2</v>
      </c>
      <c r="BN174" s="74" t="s">
        <v>222</v>
      </c>
      <c r="BO174" s="74">
        <v>6</v>
      </c>
      <c r="BP174" s="74" t="s">
        <v>75</v>
      </c>
      <c r="BQ174" s="104" t="s">
        <v>498</v>
      </c>
      <c r="BR174" s="104" t="s">
        <v>499</v>
      </c>
      <c r="BS174" s="71">
        <f>AD174/100*(47)*11.29</f>
        <v>0</v>
      </c>
      <c r="BT174" s="71">
        <f>AD174/100*(53)*22.59</f>
        <v>0</v>
      </c>
      <c r="BU174" s="71"/>
      <c r="BV174" s="96">
        <f t="shared" si="12"/>
        <v>0</v>
      </c>
      <c r="BW174" s="101">
        <f>BM174*(1-0.25)*(1-0.21)*(1-0.25)*1.2</f>
        <v>1.7064000000000001</v>
      </c>
      <c r="BX174" s="101">
        <f>SUBTOTAL(9,BM174,BW174)</f>
        <v>4.9064000000000005</v>
      </c>
    </row>
    <row r="175" spans="1:79" customFormat="1" ht="75" x14ac:dyDescent="0.25">
      <c r="A175" s="113" t="s">
        <v>115</v>
      </c>
      <c r="B175" s="5">
        <v>576</v>
      </c>
      <c r="C175" s="8" t="s">
        <v>4</v>
      </c>
      <c r="D175" s="8" t="s">
        <v>5</v>
      </c>
      <c r="E175" s="8" t="s">
        <v>109</v>
      </c>
      <c r="F175" s="8" t="s">
        <v>114</v>
      </c>
      <c r="G175" s="77" t="s">
        <v>214</v>
      </c>
      <c r="H175" s="77" t="s">
        <v>6</v>
      </c>
      <c r="I175" s="8" t="s">
        <v>9</v>
      </c>
      <c r="J175" s="74" t="s">
        <v>9</v>
      </c>
      <c r="K175" s="74" t="s">
        <v>527</v>
      </c>
      <c r="L175" s="90" t="s">
        <v>600</v>
      </c>
      <c r="M175" s="81" t="s">
        <v>530</v>
      </c>
      <c r="N175" s="74" t="s">
        <v>6</v>
      </c>
      <c r="O175" s="74" t="s">
        <v>221</v>
      </c>
      <c r="P175" s="74" t="s">
        <v>221</v>
      </c>
      <c r="Q175" s="81">
        <v>6901</v>
      </c>
      <c r="R175" s="74" t="s">
        <v>222</v>
      </c>
      <c r="S175" s="79">
        <f>(Q175-AA175)/Q175</f>
        <v>-2.1601217214896393</v>
      </c>
      <c r="T175" s="80">
        <f t="shared" si="18"/>
        <v>6901</v>
      </c>
      <c r="U175" s="81">
        <v>6416</v>
      </c>
      <c r="V175" s="81">
        <v>5030</v>
      </c>
      <c r="W175" s="81">
        <v>5427</v>
      </c>
      <c r="X175" s="81">
        <v>5484</v>
      </c>
      <c r="Y175" s="81">
        <v>5918</v>
      </c>
      <c r="Z175" s="81">
        <v>5542</v>
      </c>
      <c r="AA175" s="81">
        <v>21808</v>
      </c>
      <c r="AB175" s="80">
        <v>3999</v>
      </c>
      <c r="AC175" s="80" t="s">
        <v>222</v>
      </c>
      <c r="AD175" s="80">
        <f>Q175/100*69</f>
        <v>4761.6900000000005</v>
      </c>
      <c r="AE175" s="86">
        <v>1998</v>
      </c>
      <c r="AF175" s="80" t="s">
        <v>222</v>
      </c>
      <c r="AG175" s="81" t="s">
        <v>531</v>
      </c>
      <c r="AH175" s="86">
        <v>39</v>
      </c>
      <c r="AI175" s="86">
        <v>904</v>
      </c>
      <c r="AJ175" s="80" t="s">
        <v>222</v>
      </c>
      <c r="AK175" s="80">
        <v>5</v>
      </c>
      <c r="AL175" s="86">
        <v>155</v>
      </c>
      <c r="AM175" s="86">
        <v>33</v>
      </c>
      <c r="AN175" s="80" t="s">
        <v>222</v>
      </c>
      <c r="AO175" s="74">
        <v>6</v>
      </c>
      <c r="AP175" s="86">
        <v>60</v>
      </c>
      <c r="AQ175" s="80" t="s">
        <v>222</v>
      </c>
      <c r="AR175" s="74">
        <v>0</v>
      </c>
      <c r="AS175" s="86">
        <v>0</v>
      </c>
      <c r="AT175" s="80" t="s">
        <v>222</v>
      </c>
      <c r="AU175" s="80" t="s">
        <v>6</v>
      </c>
      <c r="AV175" s="80" t="s">
        <v>221</v>
      </c>
      <c r="AW175" s="86" t="s">
        <v>532</v>
      </c>
      <c r="AX175" s="80" t="s">
        <v>6</v>
      </c>
      <c r="AY175" s="88">
        <v>560</v>
      </c>
      <c r="AZ175" s="74" t="s">
        <v>6</v>
      </c>
      <c r="BA175" s="92">
        <v>3.5</v>
      </c>
      <c r="BB175" s="92" t="s">
        <v>644</v>
      </c>
      <c r="BC175" s="71" t="s">
        <v>221</v>
      </c>
      <c r="BD175" s="74">
        <v>69</v>
      </c>
      <c r="BE175" s="74"/>
      <c r="BF175" s="74">
        <v>61</v>
      </c>
      <c r="BG175" s="111">
        <v>54</v>
      </c>
      <c r="BH175" s="74" t="s">
        <v>222</v>
      </c>
      <c r="BI175" s="96">
        <f t="shared" si="17"/>
        <v>385.71428571428572</v>
      </c>
      <c r="BJ175" s="111"/>
      <c r="BK175" s="111">
        <v>2500</v>
      </c>
      <c r="BL175" s="74">
        <v>8</v>
      </c>
      <c r="BM175" s="74">
        <v>0.5</v>
      </c>
      <c r="BN175" s="74" t="s">
        <v>222</v>
      </c>
      <c r="BO175" s="74">
        <v>17</v>
      </c>
      <c r="BP175" s="74">
        <v>5.95</v>
      </c>
      <c r="BQ175" s="104" t="s">
        <v>533</v>
      </c>
      <c r="BR175" s="104" t="s">
        <v>75</v>
      </c>
      <c r="BS175" s="71">
        <f>AD175/100*(44)*11.29</f>
        <v>23654.171244000001</v>
      </c>
      <c r="BT175" s="71">
        <f>AD175/100*(56)*22.59</f>
        <v>60237.283176000012</v>
      </c>
      <c r="BU175" s="71">
        <v>40044.75</v>
      </c>
      <c r="BV175" s="96">
        <f t="shared" si="12"/>
        <v>123936.20442000001</v>
      </c>
      <c r="BW175" s="101">
        <f>BM175*(1-0.25)*(1-0.26)*(1-0.25)*1.2</f>
        <v>0.24974999999999997</v>
      </c>
      <c r="BX175" s="101">
        <f>SUBTOTAL(9,BM175,BW175)</f>
        <v>0.74974999999999992</v>
      </c>
      <c r="BY175" s="28"/>
    </row>
    <row r="176" spans="1:79" customFormat="1" ht="30" x14ac:dyDescent="0.25">
      <c r="A176" s="110" t="s">
        <v>208</v>
      </c>
      <c r="B176" s="5">
        <v>2275</v>
      </c>
      <c r="C176" s="8" t="s">
        <v>4</v>
      </c>
      <c r="D176" s="8" t="s">
        <v>5</v>
      </c>
      <c r="E176" s="8" t="s">
        <v>174</v>
      </c>
      <c r="F176" s="8"/>
      <c r="G176" s="77" t="s">
        <v>6</v>
      </c>
      <c r="H176" s="77" t="s">
        <v>6</v>
      </c>
      <c r="I176" s="8" t="s">
        <v>9</v>
      </c>
      <c r="J176" s="74" t="s">
        <v>9</v>
      </c>
      <c r="K176" s="74" t="s">
        <v>527</v>
      </c>
      <c r="L176" s="90" t="s">
        <v>599</v>
      </c>
      <c r="M176" s="81">
        <v>2485</v>
      </c>
      <c r="N176" s="72" t="s">
        <v>6</v>
      </c>
      <c r="O176" s="72" t="s">
        <v>221</v>
      </c>
      <c r="P176" s="72" t="s">
        <v>6</v>
      </c>
      <c r="Q176" s="81">
        <v>43494</v>
      </c>
      <c r="R176" s="74" t="s">
        <v>222</v>
      </c>
      <c r="S176" s="79">
        <f>(Q176-AA176)/Q176</f>
        <v>0.14100795512024647</v>
      </c>
      <c r="T176" s="80">
        <f t="shared" si="18"/>
        <v>43494</v>
      </c>
      <c r="U176" s="81"/>
      <c r="V176" s="81"/>
      <c r="W176" s="81">
        <v>31222</v>
      </c>
      <c r="X176" s="81">
        <v>30860</v>
      </c>
      <c r="Y176" s="81"/>
      <c r="Z176" s="81"/>
      <c r="AA176" s="81">
        <v>37361</v>
      </c>
      <c r="AB176" s="80">
        <v>11666</v>
      </c>
      <c r="AC176" s="80" t="s">
        <v>223</v>
      </c>
      <c r="AD176" s="80">
        <f>Q176/100*69</f>
        <v>30010.86</v>
      </c>
      <c r="AE176" s="86">
        <v>31828</v>
      </c>
      <c r="AF176" s="80" t="s">
        <v>223</v>
      </c>
      <c r="AG176" s="81" t="s">
        <v>500</v>
      </c>
      <c r="AH176" s="86">
        <v>581</v>
      </c>
      <c r="AI176" s="86">
        <v>17431</v>
      </c>
      <c r="AJ176" s="80" t="s">
        <v>222</v>
      </c>
      <c r="AK176" s="80">
        <v>0</v>
      </c>
      <c r="AL176" s="86">
        <v>0</v>
      </c>
      <c r="AM176" s="86">
        <v>294</v>
      </c>
      <c r="AN176" s="80" t="s">
        <v>222</v>
      </c>
      <c r="AO176" s="72">
        <v>25</v>
      </c>
      <c r="AP176" s="86">
        <v>750</v>
      </c>
      <c r="AQ176" s="80" t="s">
        <v>223</v>
      </c>
      <c r="AR176" s="72">
        <v>0</v>
      </c>
      <c r="AS176" s="86">
        <v>0</v>
      </c>
      <c r="AT176" s="80" t="s">
        <v>223</v>
      </c>
      <c r="AU176" s="80" t="s">
        <v>6</v>
      </c>
      <c r="AV176" s="80" t="s">
        <v>221</v>
      </c>
      <c r="AW176" s="86" t="s">
        <v>281</v>
      </c>
      <c r="AX176" s="80" t="s">
        <v>6</v>
      </c>
      <c r="AY176" s="88" t="s">
        <v>281</v>
      </c>
      <c r="AZ176" s="72" t="s">
        <v>6</v>
      </c>
      <c r="BA176" s="92">
        <v>6</v>
      </c>
      <c r="BB176" s="92">
        <v>3</v>
      </c>
      <c r="BC176" s="71" t="s">
        <v>221</v>
      </c>
      <c r="BD176" s="74">
        <v>80</v>
      </c>
      <c r="BE176" s="74"/>
      <c r="BF176" s="74">
        <v>60</v>
      </c>
      <c r="BG176" s="111">
        <v>3068</v>
      </c>
      <c r="BH176" s="74" t="s">
        <v>223</v>
      </c>
      <c r="BI176" s="96">
        <f t="shared" si="17"/>
        <v>21914.285714285714</v>
      </c>
      <c r="BJ176" s="111"/>
      <c r="BK176" s="111">
        <v>2902</v>
      </c>
      <c r="BL176" s="74">
        <v>10</v>
      </c>
      <c r="BM176" s="74">
        <v>8</v>
      </c>
      <c r="BN176" s="74" t="s">
        <v>223</v>
      </c>
      <c r="BO176" s="74">
        <v>9</v>
      </c>
      <c r="BP176" s="74">
        <v>4</v>
      </c>
      <c r="BQ176" s="108" t="s">
        <v>75</v>
      </c>
      <c r="BR176" s="108" t="s">
        <v>75</v>
      </c>
      <c r="BS176" s="71">
        <f>AD176/100*(44)*12.86</f>
        <v>169813.450224</v>
      </c>
      <c r="BT176" s="71">
        <f>AD176/100*(56)*25.73</f>
        <v>432420.47956800007</v>
      </c>
      <c r="BU176" s="71"/>
      <c r="BV176" s="96">
        <f t="shared" si="12"/>
        <v>602233.9297920001</v>
      </c>
      <c r="BW176" s="101">
        <f>BM176*(1-0.25)*(1-0.26)*(1-0.25)*1.2</f>
        <v>3.9959999999999996</v>
      </c>
      <c r="BX176" s="101">
        <f>SUBTOTAL(9,BM176,BW176)</f>
        <v>11.995999999999999</v>
      </c>
    </row>
    <row r="177" spans="1:76" customFormat="1" ht="30" x14ac:dyDescent="0.25">
      <c r="A177" s="110" t="s">
        <v>35</v>
      </c>
      <c r="B177" s="5">
        <v>691</v>
      </c>
      <c r="C177" s="8" t="s">
        <v>4</v>
      </c>
      <c r="D177" s="8" t="s">
        <v>5</v>
      </c>
      <c r="E177" s="95" t="s">
        <v>25</v>
      </c>
      <c r="F177" s="78"/>
      <c r="G177" s="77" t="s">
        <v>6</v>
      </c>
      <c r="H177" s="77" t="s">
        <v>6</v>
      </c>
      <c r="I177" s="8" t="s">
        <v>27</v>
      </c>
      <c r="J177" s="74" t="s">
        <v>27</v>
      </c>
      <c r="K177" s="74" t="s">
        <v>527</v>
      </c>
      <c r="L177" s="90" t="s">
        <v>599</v>
      </c>
      <c r="M177" s="81">
        <v>988</v>
      </c>
      <c r="N177" s="72" t="s">
        <v>6</v>
      </c>
      <c r="O177" s="72" t="s">
        <v>221</v>
      </c>
      <c r="P177" s="72" t="s">
        <v>221</v>
      </c>
      <c r="Q177" s="81">
        <v>15886</v>
      </c>
      <c r="R177" s="74" t="s">
        <v>222</v>
      </c>
      <c r="S177" s="79">
        <f>(Q177-AA177)/Q177</f>
        <v>2.3920433085735868E-3</v>
      </c>
      <c r="T177" s="80">
        <f t="shared" si="18"/>
        <v>15886</v>
      </c>
      <c r="U177" s="81"/>
      <c r="V177" s="81"/>
      <c r="W177" s="81">
        <v>9022</v>
      </c>
      <c r="X177" s="81">
        <v>11337</v>
      </c>
      <c r="Y177" s="81">
        <v>11180</v>
      </c>
      <c r="Z177" s="81">
        <v>12618</v>
      </c>
      <c r="AA177" s="81">
        <v>15848</v>
      </c>
      <c r="AB177" s="80">
        <v>9864</v>
      </c>
      <c r="AC177" s="80" t="s">
        <v>222</v>
      </c>
      <c r="AD177" s="80">
        <f>Q177/100*69</f>
        <v>10961.34</v>
      </c>
      <c r="AE177" s="86">
        <v>6022</v>
      </c>
      <c r="AF177" s="80" t="s">
        <v>222</v>
      </c>
      <c r="AG177" s="81" t="s">
        <v>266</v>
      </c>
      <c r="AH177" s="86">
        <v>61</v>
      </c>
      <c r="AI177" s="86">
        <v>1550</v>
      </c>
      <c r="AJ177" s="80" t="s">
        <v>222</v>
      </c>
      <c r="AK177" s="80">
        <v>1</v>
      </c>
      <c r="AL177" s="86">
        <v>22</v>
      </c>
      <c r="AM177" s="86">
        <v>1</v>
      </c>
      <c r="AN177" s="80" t="s">
        <v>222</v>
      </c>
      <c r="AO177" s="72">
        <v>23</v>
      </c>
      <c r="AP177" s="86">
        <v>2041</v>
      </c>
      <c r="AQ177" s="80" t="s">
        <v>222</v>
      </c>
      <c r="AR177" s="86">
        <v>6</v>
      </c>
      <c r="AS177" s="86">
        <v>778</v>
      </c>
      <c r="AT177" s="80" t="s">
        <v>222</v>
      </c>
      <c r="AU177" s="80" t="s">
        <v>6</v>
      </c>
      <c r="AV177" s="80" t="s">
        <v>6</v>
      </c>
      <c r="AW177" s="86">
        <v>39447</v>
      </c>
      <c r="AX177" s="80" t="s">
        <v>6</v>
      </c>
      <c r="AY177" s="88">
        <v>2154</v>
      </c>
      <c r="AZ177" s="72" t="s">
        <v>221</v>
      </c>
      <c r="BA177" s="92" t="s">
        <v>266</v>
      </c>
      <c r="BB177" s="92" t="s">
        <v>266</v>
      </c>
      <c r="BC177" s="71" t="s">
        <v>221</v>
      </c>
      <c r="BD177" s="74">
        <v>18</v>
      </c>
      <c r="BE177" s="74">
        <v>0</v>
      </c>
      <c r="BF177" s="74">
        <v>16</v>
      </c>
      <c r="BG177" s="111">
        <v>128</v>
      </c>
      <c r="BH177" s="74" t="s">
        <v>222</v>
      </c>
      <c r="BI177" s="96">
        <f t="shared" si="17"/>
        <v>914.28571428571422</v>
      </c>
      <c r="BJ177" s="111">
        <v>0</v>
      </c>
      <c r="BK177" s="111">
        <v>177</v>
      </c>
      <c r="BL177" s="74">
        <v>6</v>
      </c>
      <c r="BM177" s="74">
        <v>5.8</v>
      </c>
      <c r="BN177" s="74" t="s">
        <v>222</v>
      </c>
      <c r="BO177" s="74">
        <v>7</v>
      </c>
      <c r="BP177" s="74">
        <v>8</v>
      </c>
      <c r="BQ177" s="108" t="s">
        <v>266</v>
      </c>
      <c r="BR177" s="108" t="s">
        <v>266</v>
      </c>
      <c r="BS177" s="71">
        <f>AD177/100*(44)*17.99</f>
        <v>86765.582903999995</v>
      </c>
      <c r="BT177" s="71">
        <f>AD177/100*(56)*35.98</f>
        <v>220857.847392</v>
      </c>
      <c r="BU177" s="71"/>
      <c r="BV177" s="96">
        <f t="shared" si="12"/>
        <v>307623.43029599998</v>
      </c>
      <c r="BW177" s="101">
        <f>BM177*(1-0.25)*(1-0.26)*(1-0.25)*1.2</f>
        <v>2.8971</v>
      </c>
      <c r="BX177" s="101">
        <f>SUBTOTAL(9,BM177,BW177)</f>
        <v>8.6970999999999989</v>
      </c>
    </row>
    <row r="178" spans="1:76" customFormat="1" ht="30" x14ac:dyDescent="0.25">
      <c r="A178" s="18" t="s">
        <v>34</v>
      </c>
      <c r="B178" s="5">
        <v>674</v>
      </c>
      <c r="C178" s="8" t="s">
        <v>4</v>
      </c>
      <c r="D178" s="8" t="s">
        <v>5</v>
      </c>
      <c r="E178" s="95" t="s">
        <v>25</v>
      </c>
      <c r="F178" s="78"/>
      <c r="G178" s="77" t="s">
        <v>6</v>
      </c>
      <c r="H178" s="77" t="s">
        <v>6</v>
      </c>
      <c r="I178" s="8" t="s">
        <v>7</v>
      </c>
      <c r="J178" s="74" t="s">
        <v>7</v>
      </c>
      <c r="K178" s="74" t="s">
        <v>526</v>
      </c>
      <c r="L178" s="90" t="s">
        <v>599</v>
      </c>
      <c r="M178" s="81" t="s">
        <v>502</v>
      </c>
      <c r="N178" s="72" t="s">
        <v>6</v>
      </c>
      <c r="O178" s="72" t="s">
        <v>221</v>
      </c>
      <c r="P178" s="72" t="s">
        <v>221</v>
      </c>
      <c r="Q178" s="81" t="s">
        <v>75</v>
      </c>
      <c r="R178" s="74" t="s">
        <v>223</v>
      </c>
      <c r="S178" s="79"/>
      <c r="T178" s="80" t="e">
        <f t="shared" si="18"/>
        <v>#DIV/0!</v>
      </c>
      <c r="U178" s="81">
        <v>1592</v>
      </c>
      <c r="V178" s="81">
        <v>1189</v>
      </c>
      <c r="W178" s="81">
        <v>1148</v>
      </c>
      <c r="X178" s="81">
        <v>1329</v>
      </c>
      <c r="Y178" s="81"/>
      <c r="Z178" s="81"/>
      <c r="AA178" s="81">
        <v>500</v>
      </c>
      <c r="AB178" s="80" t="s">
        <v>75</v>
      </c>
      <c r="AC178" s="80" t="s">
        <v>75</v>
      </c>
      <c r="AD178" s="80"/>
      <c r="AE178" s="86" t="s">
        <v>75</v>
      </c>
      <c r="AF178" s="80" t="s">
        <v>75</v>
      </c>
      <c r="AG178" s="81" t="s">
        <v>221</v>
      </c>
      <c r="AH178" s="86">
        <v>6</v>
      </c>
      <c r="AI178" s="86">
        <v>135</v>
      </c>
      <c r="AJ178" s="80" t="s">
        <v>223</v>
      </c>
      <c r="AK178" s="80">
        <v>0</v>
      </c>
      <c r="AL178" s="86">
        <v>0</v>
      </c>
      <c r="AM178" s="86">
        <v>3</v>
      </c>
      <c r="AN178" s="80" t="s">
        <v>223</v>
      </c>
      <c r="AO178" s="72">
        <v>6</v>
      </c>
      <c r="AP178" s="86">
        <v>100</v>
      </c>
      <c r="AQ178" s="80" t="s">
        <v>223</v>
      </c>
      <c r="AR178" s="86">
        <v>0</v>
      </c>
      <c r="AS178" s="86">
        <v>0</v>
      </c>
      <c r="AT178" s="80" t="s">
        <v>222</v>
      </c>
      <c r="AU178" s="80" t="s">
        <v>6</v>
      </c>
      <c r="AV178" s="80" t="s">
        <v>6</v>
      </c>
      <c r="AW178" s="86">
        <v>100</v>
      </c>
      <c r="AX178" s="80" t="s">
        <v>6</v>
      </c>
      <c r="AY178" s="88" t="s">
        <v>503</v>
      </c>
      <c r="AZ178" s="72" t="s">
        <v>6</v>
      </c>
      <c r="BA178" s="92">
        <v>1</v>
      </c>
      <c r="BB178" s="92">
        <v>0.5</v>
      </c>
      <c r="BC178" s="71" t="s">
        <v>221</v>
      </c>
      <c r="BD178" s="74">
        <v>30</v>
      </c>
      <c r="BE178" s="74"/>
      <c r="BF178" s="74">
        <v>40</v>
      </c>
      <c r="BG178" s="111">
        <v>1200</v>
      </c>
      <c r="BH178" s="74" t="s">
        <v>223</v>
      </c>
      <c r="BI178" s="96">
        <f t="shared" si="17"/>
        <v>8571.4285714285706</v>
      </c>
      <c r="BJ178" s="111"/>
      <c r="BK178" s="111">
        <v>1500</v>
      </c>
      <c r="BL178" s="74">
        <v>1</v>
      </c>
      <c r="BM178" s="74">
        <v>0.4</v>
      </c>
      <c r="BN178" s="74" t="s">
        <v>222</v>
      </c>
      <c r="BO178" s="74">
        <v>1</v>
      </c>
      <c r="BP178" s="74">
        <v>0.4</v>
      </c>
      <c r="BQ178" s="108" t="s">
        <v>504</v>
      </c>
      <c r="BR178" s="108" t="s">
        <v>505</v>
      </c>
      <c r="BS178" s="71">
        <f>AD178/100*(47)*17.99</f>
        <v>0</v>
      </c>
      <c r="BT178" s="71">
        <f>AD178/100*(53)*35.98</f>
        <v>0</v>
      </c>
      <c r="BU178" s="71">
        <v>1955.625</v>
      </c>
      <c r="BV178" s="96">
        <f t="shared" si="12"/>
        <v>1955.625</v>
      </c>
      <c r="BW178" s="101">
        <f>BM178*(1-0.25)*(1-0.21)*(1-0.25)*1.2</f>
        <v>0.21330000000000002</v>
      </c>
      <c r="BX178" s="101">
        <f>SUBTOTAL(9,BM178,BW178)</f>
        <v>0.61330000000000007</v>
      </c>
    </row>
    <row r="179" spans="1:76" customFormat="1" ht="30" x14ac:dyDescent="0.25">
      <c r="A179" s="18" t="s">
        <v>55</v>
      </c>
      <c r="B179" s="5">
        <v>1752</v>
      </c>
      <c r="C179" s="8" t="s">
        <v>4</v>
      </c>
      <c r="D179" s="8" t="s">
        <v>5</v>
      </c>
      <c r="E179" s="77" t="s">
        <v>25</v>
      </c>
      <c r="F179" s="77"/>
      <c r="G179" s="77"/>
      <c r="H179" s="77"/>
      <c r="I179" s="8" t="s">
        <v>53</v>
      </c>
      <c r="J179" s="74"/>
      <c r="K179" s="74"/>
      <c r="L179" s="90"/>
      <c r="M179" s="81"/>
      <c r="N179" s="72"/>
      <c r="O179" s="72"/>
      <c r="P179" s="72"/>
      <c r="Q179" s="81"/>
      <c r="R179" s="72"/>
      <c r="S179" s="79"/>
      <c r="T179" s="80"/>
      <c r="U179" s="81"/>
      <c r="V179" s="81"/>
      <c r="W179" s="81"/>
      <c r="X179" s="81"/>
      <c r="Y179" s="81"/>
      <c r="Z179" s="81"/>
      <c r="AA179" s="81"/>
      <c r="AB179" s="80"/>
      <c r="AC179" s="80"/>
      <c r="AD179" s="80"/>
      <c r="AE179" s="86"/>
      <c r="AF179" s="80"/>
      <c r="AG179" s="81"/>
      <c r="AH179" s="86"/>
      <c r="AI179" s="86"/>
      <c r="AJ179" s="80"/>
      <c r="AK179" s="80"/>
      <c r="AL179" s="86"/>
      <c r="AM179" s="86"/>
      <c r="AN179" s="80"/>
      <c r="AO179" s="72"/>
      <c r="AP179" s="86"/>
      <c r="AQ179" s="80"/>
      <c r="AR179" s="86"/>
      <c r="AS179" s="86"/>
      <c r="AT179" s="80"/>
      <c r="AU179" s="80" t="s">
        <v>6</v>
      </c>
      <c r="AV179" s="80"/>
      <c r="AW179" s="86"/>
      <c r="AX179" s="80"/>
      <c r="AY179" s="88"/>
      <c r="AZ179" s="72" t="s">
        <v>214</v>
      </c>
      <c r="BA179" s="92">
        <v>16.25</v>
      </c>
      <c r="BB179" s="92">
        <v>8</v>
      </c>
      <c r="BC179" s="71"/>
      <c r="BD179" s="72"/>
      <c r="BE179" s="72"/>
      <c r="BF179" s="72"/>
      <c r="BG179" s="111"/>
      <c r="BH179" s="72"/>
      <c r="BI179" s="96"/>
      <c r="BJ179" s="111"/>
      <c r="BK179" s="111"/>
      <c r="BL179" s="72"/>
      <c r="BM179" s="72"/>
      <c r="BN179" s="72"/>
      <c r="BO179" s="74"/>
      <c r="BP179" s="74"/>
      <c r="BQ179" s="108"/>
      <c r="BR179" s="108"/>
      <c r="BS179" s="71"/>
      <c r="BT179" s="71"/>
      <c r="BU179" s="71"/>
      <c r="BV179" s="96">
        <f t="shared" si="12"/>
        <v>0</v>
      </c>
      <c r="BW179" s="101"/>
      <c r="BX179" s="101">
        <f>SUBTOTAL(9,BM179,BW179)</f>
        <v>0</v>
      </c>
    </row>
    <row r="180" spans="1:76" customFormat="1" ht="90" x14ac:dyDescent="0.25">
      <c r="A180" s="110" t="s">
        <v>31</v>
      </c>
      <c r="B180" s="5">
        <v>670</v>
      </c>
      <c r="C180" s="8" t="s">
        <v>4</v>
      </c>
      <c r="D180" s="8" t="s">
        <v>5</v>
      </c>
      <c r="E180" s="95" t="s">
        <v>25</v>
      </c>
      <c r="F180" s="78"/>
      <c r="G180" s="77" t="s">
        <v>6</v>
      </c>
      <c r="H180" s="77" t="s">
        <v>6</v>
      </c>
      <c r="I180" s="8" t="s">
        <v>7</v>
      </c>
      <c r="J180" s="74" t="s">
        <v>7</v>
      </c>
      <c r="K180" s="74" t="s">
        <v>527</v>
      </c>
      <c r="L180" s="90" t="s">
        <v>599</v>
      </c>
      <c r="M180" s="81">
        <v>1500</v>
      </c>
      <c r="N180" s="72" t="s">
        <v>6</v>
      </c>
      <c r="O180" s="72" t="s">
        <v>221</v>
      </c>
      <c r="P180" s="72" t="s">
        <v>221</v>
      </c>
      <c r="Q180" s="81">
        <v>12751</v>
      </c>
      <c r="R180" s="74" t="s">
        <v>222</v>
      </c>
      <c r="S180" s="79">
        <f>(Q180-AA180)/Q180</f>
        <v>1.5606619088698925E-2</v>
      </c>
      <c r="T180" s="80">
        <f>AVERAGE(Q180:Q180)</f>
        <v>12751</v>
      </c>
      <c r="U180" s="81">
        <v>11424</v>
      </c>
      <c r="V180" s="81">
        <v>12062</v>
      </c>
      <c r="W180" s="81">
        <v>12927</v>
      </c>
      <c r="X180" s="81">
        <v>12659</v>
      </c>
      <c r="Y180" s="81">
        <v>12818</v>
      </c>
      <c r="Z180" s="81">
        <v>12523</v>
      </c>
      <c r="AA180" s="81">
        <v>12552</v>
      </c>
      <c r="AB180" s="80">
        <v>9744</v>
      </c>
      <c r="AC180" s="80" t="s">
        <v>222</v>
      </c>
      <c r="AD180" s="80">
        <f>Q180/100*69</f>
        <v>8798.19</v>
      </c>
      <c r="AE180" s="86">
        <v>2610</v>
      </c>
      <c r="AF180" s="80" t="s">
        <v>222</v>
      </c>
      <c r="AG180" s="81" t="s">
        <v>295</v>
      </c>
      <c r="AH180" s="86">
        <v>39</v>
      </c>
      <c r="AI180" s="86">
        <v>860</v>
      </c>
      <c r="AJ180" s="80" t="s">
        <v>222</v>
      </c>
      <c r="AK180" s="80">
        <v>9</v>
      </c>
      <c r="AL180" s="86">
        <v>512</v>
      </c>
      <c r="AM180" s="86">
        <v>7</v>
      </c>
      <c r="AN180" s="80" t="s">
        <v>222</v>
      </c>
      <c r="AO180" s="72">
        <v>29</v>
      </c>
      <c r="AP180" s="86">
        <v>785</v>
      </c>
      <c r="AQ180" s="80" t="s">
        <v>222</v>
      </c>
      <c r="AR180" s="86">
        <v>0</v>
      </c>
      <c r="AS180" s="86">
        <v>0</v>
      </c>
      <c r="AT180" s="80" t="s">
        <v>222</v>
      </c>
      <c r="AU180" s="80" t="s">
        <v>6</v>
      </c>
      <c r="AV180" s="80" t="s">
        <v>6</v>
      </c>
      <c r="AW180" s="86">
        <v>12982</v>
      </c>
      <c r="AX180" s="80" t="s">
        <v>6</v>
      </c>
      <c r="AY180" s="88">
        <v>790</v>
      </c>
      <c r="AZ180" s="72" t="s">
        <v>221</v>
      </c>
      <c r="BA180" s="92" t="s">
        <v>301</v>
      </c>
      <c r="BB180" s="92" t="s">
        <v>301</v>
      </c>
      <c r="BC180" s="71" t="s">
        <v>6</v>
      </c>
      <c r="BD180" s="74">
        <v>35</v>
      </c>
      <c r="BE180" s="74">
        <v>35</v>
      </c>
      <c r="BF180" s="74">
        <v>41</v>
      </c>
      <c r="BG180" s="111">
        <v>3703</v>
      </c>
      <c r="BH180" s="74" t="s">
        <v>222</v>
      </c>
      <c r="BI180" s="96">
        <f>BG180/7*50</f>
        <v>26450</v>
      </c>
      <c r="BJ180" s="111">
        <v>3889</v>
      </c>
      <c r="BK180" s="111">
        <v>3755</v>
      </c>
      <c r="BL180" s="74">
        <v>3</v>
      </c>
      <c r="BM180" s="74">
        <v>1.8</v>
      </c>
      <c r="BN180" s="74" t="s">
        <v>222</v>
      </c>
      <c r="BO180" s="74">
        <v>4</v>
      </c>
      <c r="BP180" s="74">
        <v>2.6</v>
      </c>
      <c r="BQ180" s="108" t="s">
        <v>506</v>
      </c>
      <c r="BR180" s="108" t="s">
        <v>507</v>
      </c>
      <c r="BS180" s="71">
        <f>AD180/100*(44)*17.99</f>
        <v>69642.952764000001</v>
      </c>
      <c r="BT180" s="71">
        <f>AD180/100*(56)*35.98</f>
        <v>177272.970672</v>
      </c>
      <c r="BU180" s="71">
        <v>34023.324999999997</v>
      </c>
      <c r="BV180" s="96">
        <f t="shared" si="12"/>
        <v>280939.24843600002</v>
      </c>
      <c r="BW180" s="101">
        <f>BM180*(1-0.25)*(1-0.26)*(1-0.25)*1.2</f>
        <v>0.8990999999999999</v>
      </c>
      <c r="BX180" s="101">
        <f>SUBTOTAL(9,BM180,BW180)</f>
        <v>2.6991000000000001</v>
      </c>
    </row>
    <row r="181" spans="1:76" customFormat="1" ht="75" x14ac:dyDescent="0.25">
      <c r="A181" s="18" t="s">
        <v>19</v>
      </c>
      <c r="B181" s="5">
        <v>1937</v>
      </c>
      <c r="C181" s="8" t="s">
        <v>4</v>
      </c>
      <c r="D181" s="8" t="s">
        <v>5</v>
      </c>
      <c r="E181" s="8" t="s">
        <v>11</v>
      </c>
      <c r="F181" s="8"/>
      <c r="G181" s="77" t="s">
        <v>6</v>
      </c>
      <c r="H181" s="77" t="s">
        <v>6</v>
      </c>
      <c r="I181" s="8" t="s">
        <v>7</v>
      </c>
      <c r="J181" s="74" t="s">
        <v>7</v>
      </c>
      <c r="K181" s="74" t="s">
        <v>526</v>
      </c>
      <c r="L181" s="90" t="s">
        <v>600</v>
      </c>
      <c r="M181" s="81">
        <v>1191</v>
      </c>
      <c r="N181" s="72" t="s">
        <v>6</v>
      </c>
      <c r="O181" s="72" t="s">
        <v>221</v>
      </c>
      <c r="P181" s="72" t="s">
        <v>221</v>
      </c>
      <c r="Q181" s="81">
        <v>3560</v>
      </c>
      <c r="R181" s="74" t="s">
        <v>223</v>
      </c>
      <c r="S181" s="79">
        <f>(Q181-AA181)/Q181</f>
        <v>-0.25842696629213485</v>
      </c>
      <c r="T181" s="80">
        <f>AVERAGE(Q181:Q181)</f>
        <v>3560</v>
      </c>
      <c r="U181" s="81">
        <v>5250</v>
      </c>
      <c r="V181" s="81">
        <v>5800</v>
      </c>
      <c r="W181" s="81">
        <v>4428</v>
      </c>
      <c r="X181" s="81">
        <v>4125</v>
      </c>
      <c r="Y181" s="81">
        <v>4650</v>
      </c>
      <c r="Z181" s="81">
        <v>4744</v>
      </c>
      <c r="AA181" s="81">
        <v>4480</v>
      </c>
      <c r="AB181" s="80">
        <v>3260</v>
      </c>
      <c r="AC181" s="80" t="s">
        <v>223</v>
      </c>
      <c r="AD181" s="80">
        <f>Q181/100*75</f>
        <v>2670</v>
      </c>
      <c r="AE181" s="86">
        <v>300</v>
      </c>
      <c r="AF181" s="80" t="s">
        <v>223</v>
      </c>
      <c r="AG181" s="81" t="s">
        <v>508</v>
      </c>
      <c r="AH181" s="86">
        <v>7</v>
      </c>
      <c r="AI181" s="86">
        <v>200</v>
      </c>
      <c r="AJ181" s="80" t="s">
        <v>223</v>
      </c>
      <c r="AK181" s="80">
        <v>3</v>
      </c>
      <c r="AL181" s="86">
        <v>120</v>
      </c>
      <c r="AM181" s="86">
        <v>3</v>
      </c>
      <c r="AN181" s="80" t="s">
        <v>222</v>
      </c>
      <c r="AO181" s="72">
        <v>2</v>
      </c>
      <c r="AP181" s="86">
        <v>80</v>
      </c>
      <c r="AQ181" s="80" t="s">
        <v>223</v>
      </c>
      <c r="AR181" s="86">
        <v>1</v>
      </c>
      <c r="AS181" s="86">
        <v>75</v>
      </c>
      <c r="AT181" s="80" t="s">
        <v>222</v>
      </c>
      <c r="AU181" s="80" t="s">
        <v>6</v>
      </c>
      <c r="AV181" s="80" t="s">
        <v>6</v>
      </c>
      <c r="AW181" s="86">
        <v>8438</v>
      </c>
      <c r="AX181" s="80" t="s">
        <v>6</v>
      </c>
      <c r="AY181" s="88">
        <v>146</v>
      </c>
      <c r="AZ181" s="72" t="s">
        <v>221</v>
      </c>
      <c r="BA181" s="92" t="s">
        <v>266</v>
      </c>
      <c r="BB181" s="92" t="s">
        <v>266</v>
      </c>
      <c r="BC181" s="71" t="s">
        <v>221</v>
      </c>
      <c r="BD181" s="74">
        <v>16</v>
      </c>
      <c r="BE181" s="74">
        <v>17</v>
      </c>
      <c r="BF181" s="74">
        <v>17</v>
      </c>
      <c r="BG181" s="111">
        <v>1250</v>
      </c>
      <c r="BH181" s="74" t="s">
        <v>223</v>
      </c>
      <c r="BI181" s="96">
        <f>BG181/7*50</f>
        <v>8928.5714285714294</v>
      </c>
      <c r="BJ181" s="111">
        <v>771</v>
      </c>
      <c r="BK181" s="111">
        <v>742</v>
      </c>
      <c r="BL181" s="74">
        <v>0</v>
      </c>
      <c r="BM181" s="74">
        <v>0</v>
      </c>
      <c r="BN181" s="74" t="s">
        <v>75</v>
      </c>
      <c r="BO181" s="74">
        <v>0</v>
      </c>
      <c r="BP181" s="74">
        <v>0</v>
      </c>
      <c r="BQ181" s="108" t="s">
        <v>509</v>
      </c>
      <c r="BR181" s="108" t="s">
        <v>510</v>
      </c>
      <c r="BS181" s="71">
        <f>AD181/100*(47)*8.9</f>
        <v>11168.609999999999</v>
      </c>
      <c r="BT181" s="71">
        <f>AD181/100*(53)*17.79</f>
        <v>25174.628999999997</v>
      </c>
      <c r="BU181" s="71">
        <v>15814.487499999999</v>
      </c>
      <c r="BV181" s="96">
        <f t="shared" si="12"/>
        <v>52157.72649999999</v>
      </c>
      <c r="BW181" s="101">
        <f>BM181*(1-0.25)*(1-0.21)*(1-0.25)*1.2</f>
        <v>0</v>
      </c>
      <c r="BX181" s="101">
        <f>SUBTOTAL(9,BM181,BW181)</f>
        <v>0</v>
      </c>
    </row>
    <row r="182" spans="1:76" customFormat="1" ht="30" x14ac:dyDescent="0.25">
      <c r="A182" s="18" t="s">
        <v>194</v>
      </c>
      <c r="B182" s="5">
        <v>956</v>
      </c>
      <c r="C182" s="8" t="s">
        <v>4</v>
      </c>
      <c r="D182" s="8" t="s">
        <v>5</v>
      </c>
      <c r="E182" s="8" t="s">
        <v>174</v>
      </c>
      <c r="F182" s="6"/>
      <c r="G182" s="72"/>
      <c r="H182" s="72"/>
      <c r="I182" s="8" t="s">
        <v>7</v>
      </c>
      <c r="J182" s="72"/>
      <c r="K182" s="72"/>
      <c r="L182" s="85"/>
      <c r="M182" s="81"/>
      <c r="N182" s="72"/>
      <c r="O182" s="72"/>
      <c r="P182" s="72"/>
      <c r="Q182" s="81"/>
      <c r="R182" s="72"/>
      <c r="S182" s="79"/>
      <c r="T182" s="80"/>
      <c r="U182" s="81">
        <v>1861</v>
      </c>
      <c r="V182" s="81">
        <v>2242</v>
      </c>
      <c r="W182" s="81">
        <v>2242</v>
      </c>
      <c r="X182" s="81">
        <v>1899</v>
      </c>
      <c r="Y182" s="81"/>
      <c r="Z182" s="81"/>
      <c r="AA182" s="81"/>
      <c r="AB182" s="80"/>
      <c r="AC182" s="80"/>
      <c r="AD182" s="80"/>
      <c r="AE182" s="86"/>
      <c r="AF182" s="80"/>
      <c r="AG182" s="81"/>
      <c r="AH182" s="86"/>
      <c r="AI182" s="86"/>
      <c r="AJ182" s="80"/>
      <c r="AK182" s="80"/>
      <c r="AL182" s="86"/>
      <c r="AM182" s="86"/>
      <c r="AN182" s="80"/>
      <c r="AO182" s="72"/>
      <c r="AP182" s="86"/>
      <c r="AQ182" s="80"/>
      <c r="AR182" s="86"/>
      <c r="AS182" s="86"/>
      <c r="AT182" s="80"/>
      <c r="AU182" s="80" t="s">
        <v>214</v>
      </c>
      <c r="AV182" s="80"/>
      <c r="AW182" s="86"/>
      <c r="AX182" s="80"/>
      <c r="AY182" s="88"/>
      <c r="AZ182" s="72" t="s">
        <v>214</v>
      </c>
      <c r="BA182" s="92">
        <v>1</v>
      </c>
      <c r="BB182" s="92">
        <v>0.3</v>
      </c>
      <c r="BC182" s="71"/>
      <c r="BD182" s="72"/>
      <c r="BE182" s="72"/>
      <c r="BF182" s="72"/>
      <c r="BG182" s="111"/>
      <c r="BH182" s="72"/>
      <c r="BI182" s="96"/>
      <c r="BJ182" s="111"/>
      <c r="BK182" s="111"/>
      <c r="BL182" s="72"/>
      <c r="BM182" s="72"/>
      <c r="BN182" s="72"/>
      <c r="BO182" s="72"/>
      <c r="BP182" s="72"/>
      <c r="BQ182" s="108"/>
      <c r="BR182" s="108"/>
      <c r="BS182" s="71"/>
      <c r="BT182" s="71"/>
      <c r="BU182" s="71"/>
      <c r="BV182" s="96">
        <f t="shared" si="12"/>
        <v>0</v>
      </c>
      <c r="BW182" s="101"/>
      <c r="BX182" s="101">
        <f>SUBTOTAL(9,BM182,BW182)</f>
        <v>0</v>
      </c>
    </row>
    <row r="183" spans="1:76" customFormat="1" ht="75" x14ac:dyDescent="0.25">
      <c r="A183" s="18" t="s">
        <v>158</v>
      </c>
      <c r="B183" s="5">
        <v>1519</v>
      </c>
      <c r="C183" s="8" t="s">
        <v>4</v>
      </c>
      <c r="D183" s="8" t="s">
        <v>5</v>
      </c>
      <c r="E183" s="8" t="s">
        <v>137</v>
      </c>
      <c r="F183" s="6"/>
      <c r="G183" s="72" t="s">
        <v>214</v>
      </c>
      <c r="H183" s="72"/>
      <c r="I183" s="8" t="s">
        <v>7</v>
      </c>
      <c r="J183" s="72" t="s">
        <v>7</v>
      </c>
      <c r="K183" s="72" t="s">
        <v>526</v>
      </c>
      <c r="L183" s="85" t="s">
        <v>600</v>
      </c>
      <c r="M183" s="81">
        <v>1260</v>
      </c>
      <c r="N183" s="72" t="s">
        <v>6</v>
      </c>
      <c r="O183" s="72" t="s">
        <v>6</v>
      </c>
      <c r="P183" s="72" t="s">
        <v>221</v>
      </c>
      <c r="Q183" s="81">
        <v>1723</v>
      </c>
      <c r="R183" s="74" t="s">
        <v>222</v>
      </c>
      <c r="S183" s="79"/>
      <c r="T183" s="80">
        <f>AVERAGE(Q183:Q183)</f>
        <v>1723</v>
      </c>
      <c r="U183" s="81">
        <v>2128</v>
      </c>
      <c r="V183" s="81">
        <v>2287</v>
      </c>
      <c r="W183" s="81">
        <v>2512</v>
      </c>
      <c r="X183" s="81">
        <v>1609</v>
      </c>
      <c r="Y183" s="81">
        <v>1904</v>
      </c>
      <c r="Z183" s="81">
        <v>1803</v>
      </c>
      <c r="AA183" s="81"/>
      <c r="AB183" s="80">
        <v>1700</v>
      </c>
      <c r="AC183" s="80" t="s">
        <v>223</v>
      </c>
      <c r="AD183" s="80">
        <f>Q183/100*75</f>
        <v>1292.25</v>
      </c>
      <c r="AE183" s="86">
        <v>32</v>
      </c>
      <c r="AF183" s="80" t="s">
        <v>223</v>
      </c>
      <c r="AG183" s="81" t="s">
        <v>221</v>
      </c>
      <c r="AH183" s="86">
        <v>0</v>
      </c>
      <c r="AI183" s="86">
        <v>0</v>
      </c>
      <c r="AJ183" s="80" t="s">
        <v>222</v>
      </c>
      <c r="AK183" s="80">
        <v>0</v>
      </c>
      <c r="AL183" s="86">
        <v>0</v>
      </c>
      <c r="AM183" s="86">
        <v>0</v>
      </c>
      <c r="AN183" s="80" t="s">
        <v>222</v>
      </c>
      <c r="AO183" s="72">
        <v>4</v>
      </c>
      <c r="AP183" s="86">
        <v>60</v>
      </c>
      <c r="AQ183" s="80" t="s">
        <v>223</v>
      </c>
      <c r="AR183" s="86">
        <v>0</v>
      </c>
      <c r="AS183" s="86">
        <v>0</v>
      </c>
      <c r="AT183" s="80" t="s">
        <v>222</v>
      </c>
      <c r="AU183" s="80" t="s">
        <v>6</v>
      </c>
      <c r="AV183" s="80" t="s">
        <v>6</v>
      </c>
      <c r="AW183" s="86" t="s">
        <v>511</v>
      </c>
      <c r="AX183" s="80" t="s">
        <v>6</v>
      </c>
      <c r="AY183" s="88" t="s">
        <v>512</v>
      </c>
      <c r="AZ183" s="72" t="s">
        <v>6</v>
      </c>
      <c r="BA183" s="92">
        <v>4</v>
      </c>
      <c r="BB183" s="92">
        <v>1</v>
      </c>
      <c r="BC183" s="71" t="s">
        <v>221</v>
      </c>
      <c r="BD183" s="74" t="s">
        <v>515</v>
      </c>
      <c r="BE183" s="74">
        <v>152</v>
      </c>
      <c r="BF183" s="74"/>
      <c r="BG183" s="111" t="s">
        <v>516</v>
      </c>
      <c r="BH183" s="74" t="s">
        <v>223</v>
      </c>
      <c r="BI183" s="96"/>
      <c r="BJ183" s="111">
        <v>5100</v>
      </c>
      <c r="BK183" s="111"/>
      <c r="BL183" s="74">
        <v>1</v>
      </c>
      <c r="BM183" s="74"/>
      <c r="BN183" s="74" t="s">
        <v>222</v>
      </c>
      <c r="BO183" s="72"/>
      <c r="BP183" s="72"/>
      <c r="BQ183" s="108" t="s">
        <v>517</v>
      </c>
      <c r="BR183" s="108" t="s">
        <v>518</v>
      </c>
      <c r="BS183" s="71">
        <f>AD183/100*(47)*14.08</f>
        <v>8551.5936000000002</v>
      </c>
      <c r="BT183" s="71">
        <f>AD183/100*(53)*28.16</f>
        <v>19286.572799999998</v>
      </c>
      <c r="BU183" s="71"/>
      <c r="BV183" s="96">
        <f t="shared" si="12"/>
        <v>27838.166399999998</v>
      </c>
      <c r="BW183" s="101">
        <f>BM183*(1-0.25)*(1-0.21)*(1-0.25)*1.2</f>
        <v>0</v>
      </c>
      <c r="BX183" s="101">
        <f>SUBTOTAL(9,BM183,BW183)</f>
        <v>0</v>
      </c>
    </row>
    <row r="184" spans="1:76" x14ac:dyDescent="0.25">
      <c r="A184" s="120"/>
      <c r="BV184" s="98"/>
    </row>
  </sheetData>
  <autoFilter ref="A2:BX18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F8" sqref="F8"/>
    </sheetView>
  </sheetViews>
  <sheetFormatPr defaultColWidth="11.42578125" defaultRowHeight="15" x14ac:dyDescent="0.25"/>
  <cols>
    <col min="2" max="2" width="5" customWidth="1"/>
    <col min="3" max="3" width="5.28515625" customWidth="1"/>
    <col min="5" max="6" width="12.7109375" bestFit="1" customWidth="1"/>
    <col min="7" max="7" width="14.42578125" customWidth="1"/>
    <col min="8" max="8" width="5.42578125" customWidth="1"/>
  </cols>
  <sheetData>
    <row r="1" spans="1:8" x14ac:dyDescent="0.25">
      <c r="A1" s="22"/>
      <c r="B1" s="51" t="s">
        <v>632</v>
      </c>
      <c r="C1" s="51" t="s">
        <v>628</v>
      </c>
      <c r="D1" s="51" t="s">
        <v>629</v>
      </c>
      <c r="E1" s="51" t="s">
        <v>630</v>
      </c>
      <c r="F1" s="51" t="s">
        <v>633</v>
      </c>
      <c r="G1" s="51" t="s">
        <v>631</v>
      </c>
      <c r="H1" s="51" t="s">
        <v>634</v>
      </c>
    </row>
    <row r="2" spans="1:8" x14ac:dyDescent="0.25">
      <c r="A2" s="51" t="s">
        <v>627</v>
      </c>
      <c r="B2" s="22">
        <v>9</v>
      </c>
      <c r="C2" s="52">
        <v>0.89</v>
      </c>
      <c r="D2" s="22">
        <v>288677</v>
      </c>
      <c r="E2" s="53">
        <v>2910901</v>
      </c>
      <c r="F2" s="53">
        <v>904363</v>
      </c>
      <c r="G2" s="53">
        <f>SUM(E2:F2)</f>
        <v>3815264</v>
      </c>
      <c r="H2" s="22">
        <v>55</v>
      </c>
    </row>
    <row r="3" spans="1:8" x14ac:dyDescent="0.25">
      <c r="A3" s="51" t="s">
        <v>635</v>
      </c>
      <c r="B3" s="22">
        <v>36</v>
      </c>
      <c r="C3" s="52">
        <v>0.75</v>
      </c>
      <c r="D3" s="22">
        <v>1512412</v>
      </c>
      <c r="E3" s="53">
        <v>31158372</v>
      </c>
      <c r="F3" s="53">
        <v>5855457</v>
      </c>
      <c r="G3" s="53">
        <f>SUM(E3:F3)</f>
        <v>37013829</v>
      </c>
      <c r="H3" s="22">
        <v>338</v>
      </c>
    </row>
    <row r="4" spans="1:8" x14ac:dyDescent="0.25">
      <c r="A4" s="51" t="s">
        <v>68</v>
      </c>
      <c r="B4" s="22">
        <v>31</v>
      </c>
      <c r="C4" s="52">
        <v>0.65</v>
      </c>
      <c r="D4" s="22">
        <v>354160</v>
      </c>
      <c r="E4" s="53">
        <v>5129234</v>
      </c>
      <c r="F4" s="53">
        <v>2474734</v>
      </c>
      <c r="G4" s="53">
        <f t="shared" ref="G4:G7" si="0">SUM(E4:F4)</f>
        <v>7603968</v>
      </c>
      <c r="H4" s="22">
        <v>170</v>
      </c>
    </row>
    <row r="5" spans="1:8" x14ac:dyDescent="0.25">
      <c r="A5" s="51" t="s">
        <v>638</v>
      </c>
      <c r="B5" s="22">
        <v>24</v>
      </c>
      <c r="C5" s="52">
        <v>0.83</v>
      </c>
      <c r="D5" s="22">
        <v>5359</v>
      </c>
      <c r="E5" s="53">
        <v>5359986</v>
      </c>
      <c r="F5" s="53">
        <v>2546403</v>
      </c>
      <c r="G5" s="53">
        <f t="shared" si="0"/>
        <v>7906389</v>
      </c>
      <c r="H5" s="22">
        <v>124</v>
      </c>
    </row>
    <row r="6" spans="1:8" x14ac:dyDescent="0.25">
      <c r="A6" s="51" t="s">
        <v>137</v>
      </c>
      <c r="B6" s="22">
        <v>33</v>
      </c>
      <c r="C6" s="52">
        <v>0.7</v>
      </c>
      <c r="D6" s="22">
        <v>588756</v>
      </c>
      <c r="E6" s="53">
        <v>9318659</v>
      </c>
      <c r="F6" s="53">
        <v>4599942</v>
      </c>
      <c r="G6" s="53">
        <f t="shared" si="0"/>
        <v>13918601</v>
      </c>
      <c r="H6" s="22">
        <v>205</v>
      </c>
    </row>
    <row r="7" spans="1:8" x14ac:dyDescent="0.25">
      <c r="A7" s="51" t="s">
        <v>174</v>
      </c>
      <c r="B7" s="22">
        <v>36</v>
      </c>
      <c r="C7" s="52">
        <v>0.72</v>
      </c>
      <c r="D7" s="22">
        <v>439762</v>
      </c>
      <c r="E7" s="53">
        <v>6192054</v>
      </c>
      <c r="F7" s="53">
        <v>3512214</v>
      </c>
      <c r="G7" s="53">
        <f t="shared" si="0"/>
        <v>9704268</v>
      </c>
      <c r="H7" s="22">
        <v>131</v>
      </c>
    </row>
    <row r="8" spans="1:8" x14ac:dyDescent="0.25">
      <c r="A8" s="51" t="s">
        <v>637</v>
      </c>
      <c r="B8" s="22">
        <f>SUM(B2:B7)</f>
        <v>169</v>
      </c>
      <c r="C8" s="52">
        <v>0.73</v>
      </c>
      <c r="D8" s="22">
        <f>SUM(D2:D7)</f>
        <v>3189126</v>
      </c>
      <c r="E8" s="53">
        <f>SUM(E2:E7)</f>
        <v>60069206</v>
      </c>
      <c r="F8" s="53">
        <f>SUM(F2:F7)</f>
        <v>19893113</v>
      </c>
      <c r="G8" s="53">
        <f>SUM(G2:G7)</f>
        <v>79962319</v>
      </c>
      <c r="H8" s="22">
        <f>SUM(H2:H7)</f>
        <v>1023</v>
      </c>
    </row>
    <row r="9" spans="1:8" x14ac:dyDescent="0.25">
      <c r="E9" s="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F184"/>
  <sheetViews>
    <sheetView topLeftCell="G1" workbookViewId="0">
      <selection activeCell="H1" sqref="H1"/>
    </sheetView>
  </sheetViews>
  <sheetFormatPr defaultColWidth="11.42578125" defaultRowHeight="15" x14ac:dyDescent="0.25"/>
  <cols>
    <col min="1" max="1" width="41.42578125" customWidth="1"/>
    <col min="2" max="2" width="15.140625" customWidth="1"/>
    <col min="4" max="4" width="15.140625" customWidth="1"/>
    <col min="5" max="5" width="14.42578125" customWidth="1"/>
    <col min="7" max="7" width="10" bestFit="1" customWidth="1"/>
    <col min="10" max="10" width="9" bestFit="1" customWidth="1"/>
    <col min="15" max="15" width="14.140625" style="34" customWidth="1"/>
    <col min="16" max="16" width="11.42578125" customWidth="1"/>
    <col min="17" max="17" width="15.28515625" customWidth="1"/>
    <col min="18" max="18" width="9.42578125" bestFit="1" customWidth="1"/>
    <col min="19" max="19" width="11.140625" customWidth="1"/>
    <col min="20" max="20" width="9.7109375" bestFit="1" customWidth="1"/>
    <col min="21" max="21" width="14.7109375" customWidth="1"/>
    <col min="22" max="22" width="13" customWidth="1"/>
    <col min="23" max="23" width="13.140625" customWidth="1"/>
    <col min="24" max="24" width="13.7109375" bestFit="1" customWidth="1"/>
    <col min="25" max="25" width="12.85546875" customWidth="1"/>
    <col min="27" max="27" width="11" bestFit="1" customWidth="1"/>
    <col min="28" max="28" width="14.140625" customWidth="1"/>
    <col min="29" max="29" width="14.42578125" customWidth="1"/>
    <col min="30" max="30" width="21.42578125" customWidth="1"/>
    <col min="31" max="31" width="14" customWidth="1"/>
    <col min="32" max="32" width="12.140625" bestFit="1" customWidth="1"/>
  </cols>
  <sheetData>
    <row r="1" spans="1:32" x14ac:dyDescent="0.25">
      <c r="A1" s="3" t="s">
        <v>0</v>
      </c>
      <c r="B1" s="4" t="s">
        <v>22</v>
      </c>
      <c r="C1" s="2" t="s">
        <v>615</v>
      </c>
      <c r="D1" s="4" t="s">
        <v>616</v>
      </c>
      <c r="E1" s="49" t="s">
        <v>636</v>
      </c>
      <c r="F1" s="54" t="s">
        <v>624</v>
      </c>
      <c r="G1" s="45" t="s">
        <v>247</v>
      </c>
      <c r="H1" s="45" t="s">
        <v>666</v>
      </c>
      <c r="I1" s="45" t="s">
        <v>646</v>
      </c>
      <c r="J1" s="45" t="s">
        <v>248</v>
      </c>
      <c r="K1" s="45" t="s">
        <v>249</v>
      </c>
      <c r="L1" s="45" t="s">
        <v>250</v>
      </c>
      <c r="M1" s="45" t="s">
        <v>251</v>
      </c>
      <c r="N1" s="45" t="s">
        <v>252</v>
      </c>
      <c r="O1" s="2" t="s">
        <v>608</v>
      </c>
      <c r="P1" s="45" t="s">
        <v>253</v>
      </c>
      <c r="Q1" s="2" t="s">
        <v>613</v>
      </c>
      <c r="R1" s="45" t="s">
        <v>254</v>
      </c>
      <c r="S1" s="45" t="s">
        <v>255</v>
      </c>
      <c r="T1" s="2" t="s">
        <v>247</v>
      </c>
      <c r="U1" s="2" t="s">
        <v>645</v>
      </c>
      <c r="V1" s="2" t="s">
        <v>646</v>
      </c>
      <c r="W1" s="2" t="s">
        <v>248</v>
      </c>
      <c r="X1" s="2" t="s">
        <v>647</v>
      </c>
      <c r="Y1" s="2" t="s">
        <v>250</v>
      </c>
      <c r="Z1" s="2" t="s">
        <v>648</v>
      </c>
      <c r="AA1" s="2" t="s">
        <v>252</v>
      </c>
      <c r="AB1" s="2" t="s">
        <v>608</v>
      </c>
      <c r="AC1" s="2" t="s">
        <v>253</v>
      </c>
      <c r="AD1" s="2" t="s">
        <v>613</v>
      </c>
      <c r="AE1" s="2" t="s">
        <v>254</v>
      </c>
      <c r="AF1" s="2" t="s">
        <v>255</v>
      </c>
    </row>
    <row r="2" spans="1:32" hidden="1" x14ac:dyDescent="0.25">
      <c r="A2" s="11" t="s">
        <v>21</v>
      </c>
      <c r="B2" s="6" t="s">
        <v>8</v>
      </c>
      <c r="C2" s="1"/>
      <c r="D2" s="6" t="s">
        <v>526</v>
      </c>
      <c r="E2" s="22" t="s">
        <v>6</v>
      </c>
      <c r="F2" s="1" t="s">
        <v>320</v>
      </c>
      <c r="G2" s="1">
        <v>0</v>
      </c>
      <c r="H2" s="41">
        <v>3000</v>
      </c>
      <c r="I2" s="1">
        <v>0</v>
      </c>
      <c r="J2" s="1">
        <v>0</v>
      </c>
      <c r="K2" s="1">
        <v>0</v>
      </c>
      <c r="L2" s="41">
        <v>4000</v>
      </c>
      <c r="M2" s="41">
        <v>8000</v>
      </c>
      <c r="N2" s="1">
        <v>0</v>
      </c>
      <c r="O2" s="32">
        <f>SUBTOTAL(9,G2:N2)</f>
        <v>0</v>
      </c>
      <c r="P2" s="1" t="s">
        <v>75</v>
      </c>
      <c r="Q2" s="31"/>
      <c r="R2" s="1" t="s">
        <v>75</v>
      </c>
      <c r="S2" s="1" t="s">
        <v>75</v>
      </c>
      <c r="T2" s="31"/>
      <c r="U2" s="31"/>
      <c r="V2" s="31"/>
      <c r="W2" s="31"/>
      <c r="X2" s="31"/>
      <c r="Y2" s="31"/>
      <c r="Z2" s="31"/>
      <c r="AA2" s="31"/>
      <c r="AB2" s="31"/>
      <c r="AC2" s="31"/>
      <c r="AD2" s="31"/>
      <c r="AE2" s="31"/>
      <c r="AF2" s="31"/>
    </row>
    <row r="3" spans="1:32" x14ac:dyDescent="0.25">
      <c r="A3" s="15" t="s">
        <v>173</v>
      </c>
      <c r="B3" s="6" t="s">
        <v>7</v>
      </c>
      <c r="C3" s="1" t="s">
        <v>526</v>
      </c>
      <c r="D3" s="6" t="s">
        <v>526</v>
      </c>
      <c r="E3" s="22" t="s">
        <v>6</v>
      </c>
      <c r="F3" s="1" t="s">
        <v>221</v>
      </c>
      <c r="G3" s="1">
        <v>0</v>
      </c>
      <c r="H3" s="42">
        <v>2534.1</v>
      </c>
      <c r="I3" s="1">
        <v>0</v>
      </c>
      <c r="J3" s="1">
        <v>0</v>
      </c>
      <c r="K3" s="1">
        <v>0</v>
      </c>
      <c r="L3" s="42">
        <v>2820.27</v>
      </c>
      <c r="M3" s="41">
        <v>1750</v>
      </c>
      <c r="N3" s="41">
        <v>1000</v>
      </c>
      <c r="O3" s="55">
        <f>SUBTOTAL(9,G3:N3)</f>
        <v>8104.37</v>
      </c>
      <c r="P3" s="56">
        <v>8104.37</v>
      </c>
      <c r="Q3" s="31">
        <f>SUBTOTAL(9,G3:J3)</f>
        <v>2534.1</v>
      </c>
      <c r="R3" s="41">
        <v>7500</v>
      </c>
      <c r="S3" s="1">
        <v>0</v>
      </c>
      <c r="T3" s="31">
        <v>0</v>
      </c>
      <c r="U3" s="31">
        <v>2356.2800000000002</v>
      </c>
      <c r="V3" s="31">
        <v>0</v>
      </c>
      <c r="W3" s="31">
        <v>0</v>
      </c>
      <c r="X3" s="31">
        <v>0</v>
      </c>
      <c r="Y3" s="31">
        <v>1366.04</v>
      </c>
      <c r="Z3" s="31">
        <v>0</v>
      </c>
      <c r="AA3" s="31" t="s">
        <v>649</v>
      </c>
      <c r="AB3" s="55">
        <f>SUBTOTAL(9,T3:AA3)</f>
        <v>3722.32</v>
      </c>
      <c r="AC3" s="31">
        <v>3722.32</v>
      </c>
      <c r="AD3" s="31">
        <f>SUBTOTAL(9,T3:W3)</f>
        <v>2356.2800000000002</v>
      </c>
      <c r="AE3" s="31" t="s">
        <v>75</v>
      </c>
      <c r="AF3" s="31">
        <v>0</v>
      </c>
    </row>
    <row r="4" spans="1:32" x14ac:dyDescent="0.25">
      <c r="A4" s="10" t="s">
        <v>67</v>
      </c>
      <c r="B4" s="6" t="s">
        <v>7</v>
      </c>
      <c r="C4" s="1" t="s">
        <v>527</v>
      </c>
      <c r="D4" s="6" t="s">
        <v>527</v>
      </c>
      <c r="E4" s="22" t="s">
        <v>6</v>
      </c>
      <c r="F4" s="1" t="s">
        <v>6</v>
      </c>
      <c r="G4" s="1">
        <v>207181</v>
      </c>
      <c r="H4" s="1">
        <v>128868</v>
      </c>
      <c r="I4" s="1">
        <v>6099</v>
      </c>
      <c r="J4" s="1">
        <v>30043</v>
      </c>
      <c r="K4" s="1" t="s">
        <v>75</v>
      </c>
      <c r="L4" s="1">
        <v>37244</v>
      </c>
      <c r="M4" s="1">
        <v>165000</v>
      </c>
      <c r="N4" s="1" t="s">
        <v>75</v>
      </c>
      <c r="O4" s="55">
        <f>SUBTOTAL(9,G4:N4)</f>
        <v>574435</v>
      </c>
      <c r="P4" s="13">
        <v>499967</v>
      </c>
      <c r="Q4" s="31">
        <f>SUBTOTAL(9,G4:J4)</f>
        <v>372191</v>
      </c>
      <c r="R4" s="1">
        <v>317466</v>
      </c>
      <c r="S4" s="1">
        <v>80849</v>
      </c>
      <c r="T4" s="31">
        <v>121977</v>
      </c>
      <c r="U4" s="31">
        <v>181493</v>
      </c>
      <c r="V4" s="31">
        <v>2500</v>
      </c>
      <c r="W4" s="31">
        <v>234136</v>
      </c>
      <c r="X4" s="31">
        <v>0</v>
      </c>
      <c r="Y4" s="31">
        <v>38158</v>
      </c>
      <c r="Z4" s="31">
        <v>10199</v>
      </c>
      <c r="AA4" s="31">
        <v>0</v>
      </c>
      <c r="AB4" s="55">
        <f>SUBTOTAL(9,T4:AA4)</f>
        <v>588463</v>
      </c>
      <c r="AC4" s="31">
        <v>585963</v>
      </c>
      <c r="AD4" s="31">
        <f>SUBTOTAL(9,T4:W4)</f>
        <v>540106</v>
      </c>
      <c r="AE4" s="31">
        <v>557149</v>
      </c>
      <c r="AF4" s="31">
        <v>79756</v>
      </c>
    </row>
    <row r="5" spans="1:32" hidden="1" x14ac:dyDescent="0.25">
      <c r="A5" s="8" t="s">
        <v>136</v>
      </c>
      <c r="B5" s="6" t="s">
        <v>27</v>
      </c>
      <c r="C5" s="1"/>
      <c r="D5" s="6"/>
      <c r="E5" s="22"/>
      <c r="F5" s="22" t="s">
        <v>320</v>
      </c>
      <c r="G5" s="22"/>
      <c r="H5" s="22"/>
      <c r="I5" s="22"/>
      <c r="J5" s="22"/>
      <c r="K5" s="22"/>
      <c r="L5" s="22"/>
      <c r="M5" s="22"/>
      <c r="N5" s="22"/>
      <c r="O5" s="32"/>
      <c r="P5" s="22"/>
      <c r="Q5" s="31"/>
      <c r="R5" s="22"/>
      <c r="S5" s="22"/>
      <c r="T5" s="31"/>
      <c r="U5" s="31"/>
      <c r="V5" s="31"/>
      <c r="W5" s="31"/>
      <c r="X5" s="31"/>
      <c r="Y5" s="31"/>
      <c r="Z5" s="31"/>
      <c r="AA5" s="31"/>
      <c r="AB5" s="31"/>
      <c r="AC5" s="31"/>
      <c r="AD5" s="31"/>
      <c r="AE5" s="31"/>
      <c r="AF5" s="31"/>
    </row>
    <row r="6" spans="1:32" hidden="1" x14ac:dyDescent="0.25">
      <c r="A6" s="11" t="s">
        <v>69</v>
      </c>
      <c r="B6" s="6" t="s">
        <v>7</v>
      </c>
      <c r="C6" s="1"/>
      <c r="D6" s="6"/>
      <c r="E6" s="22"/>
      <c r="F6" s="22" t="s">
        <v>6</v>
      </c>
      <c r="G6" s="22"/>
      <c r="H6" s="22"/>
      <c r="I6" s="22"/>
      <c r="J6" s="22"/>
      <c r="K6" s="22"/>
      <c r="L6" s="22"/>
      <c r="M6" s="22"/>
      <c r="N6" s="22"/>
      <c r="O6" s="32"/>
      <c r="P6" s="22"/>
      <c r="Q6" s="31"/>
      <c r="R6" s="22"/>
      <c r="S6" s="22"/>
      <c r="T6" s="31"/>
      <c r="U6" s="31"/>
      <c r="V6" s="31"/>
      <c r="W6" s="31"/>
      <c r="X6" s="31"/>
      <c r="Y6" s="31"/>
      <c r="Z6" s="31"/>
      <c r="AA6" s="31"/>
      <c r="AB6" s="31"/>
      <c r="AC6" s="31"/>
      <c r="AD6" s="31"/>
      <c r="AE6" s="31"/>
      <c r="AF6" s="31"/>
    </row>
    <row r="7" spans="1:32" ht="30" hidden="1" x14ac:dyDescent="0.25">
      <c r="A7" s="11" t="s">
        <v>24</v>
      </c>
      <c r="B7" s="6" t="s">
        <v>9</v>
      </c>
      <c r="C7" s="1" t="s">
        <v>527</v>
      </c>
      <c r="D7" s="6" t="s">
        <v>390</v>
      </c>
      <c r="E7" s="22" t="s">
        <v>214</v>
      </c>
      <c r="F7" s="1" t="s">
        <v>390</v>
      </c>
      <c r="G7" s="1">
        <v>0</v>
      </c>
      <c r="H7" s="1">
        <v>0</v>
      </c>
      <c r="I7" s="1">
        <v>0</v>
      </c>
      <c r="J7" s="1" t="s">
        <v>75</v>
      </c>
      <c r="K7" s="1">
        <v>146413</v>
      </c>
      <c r="L7" s="1" t="s">
        <v>75</v>
      </c>
      <c r="M7" s="1" t="s">
        <v>75</v>
      </c>
      <c r="N7" s="1">
        <v>100793</v>
      </c>
      <c r="O7" s="55">
        <f>SUBTOTAL(9,G7:N7)</f>
        <v>0</v>
      </c>
      <c r="P7" s="13">
        <v>247206</v>
      </c>
      <c r="Q7" s="35">
        <f>SUBTOTAL(9,G7:J7)</f>
        <v>0</v>
      </c>
      <c r="R7" s="1">
        <v>146413</v>
      </c>
      <c r="S7" s="1">
        <v>117278</v>
      </c>
      <c r="T7" s="31">
        <v>0</v>
      </c>
      <c r="U7" s="31">
        <v>0</v>
      </c>
      <c r="V7" s="31">
        <v>0</v>
      </c>
      <c r="W7" s="31">
        <v>1832</v>
      </c>
      <c r="X7" s="31">
        <v>108587</v>
      </c>
      <c r="Y7" s="31">
        <v>4986</v>
      </c>
      <c r="Z7" s="31">
        <v>0</v>
      </c>
      <c r="AA7" s="31">
        <v>0</v>
      </c>
      <c r="AB7" s="55">
        <f>SUBTOTAL(9,T7:AA7)</f>
        <v>0</v>
      </c>
      <c r="AC7" s="31">
        <v>115405</v>
      </c>
      <c r="AD7" s="35">
        <f>SUBTOTAL(9,T7:W10)</f>
        <v>0</v>
      </c>
      <c r="AE7" s="31">
        <v>108587</v>
      </c>
      <c r="AF7" s="31">
        <v>81102</v>
      </c>
    </row>
    <row r="8" spans="1:32" hidden="1" x14ac:dyDescent="0.25">
      <c r="A8" s="15" t="s">
        <v>175</v>
      </c>
      <c r="B8" s="6" t="s">
        <v>7</v>
      </c>
      <c r="C8" s="1" t="s">
        <v>526</v>
      </c>
      <c r="D8" s="6" t="s">
        <v>526</v>
      </c>
      <c r="E8" s="22"/>
      <c r="F8" s="22" t="s">
        <v>221</v>
      </c>
      <c r="G8" s="22"/>
      <c r="H8" s="22"/>
      <c r="I8" s="22"/>
      <c r="J8" s="22"/>
      <c r="K8" s="22"/>
      <c r="L8" s="22"/>
      <c r="M8" s="22"/>
      <c r="N8" s="22"/>
      <c r="O8" s="32"/>
      <c r="P8" s="22"/>
      <c r="Q8" s="31">
        <f>SUBTOTAL(9,G8:J8)</f>
        <v>0</v>
      </c>
      <c r="R8" s="22"/>
      <c r="S8" s="22"/>
      <c r="T8" s="31">
        <v>0</v>
      </c>
      <c r="U8" s="31">
        <v>831</v>
      </c>
      <c r="V8" s="31" t="s">
        <v>266</v>
      </c>
      <c r="W8" s="31">
        <v>371</v>
      </c>
      <c r="X8" s="31">
        <v>0</v>
      </c>
      <c r="Y8" s="31">
        <v>527</v>
      </c>
      <c r="Z8" s="31">
        <v>1000</v>
      </c>
      <c r="AA8" s="31" t="s">
        <v>199</v>
      </c>
      <c r="AB8" s="55">
        <f>SUBTOTAL(9,T8:AA8)</f>
        <v>0</v>
      </c>
      <c r="AC8" s="31">
        <v>2729</v>
      </c>
      <c r="AD8" s="31">
        <f>SUBTOTAL(9,T8:W8)</f>
        <v>0</v>
      </c>
      <c r="AE8" s="31">
        <v>1877</v>
      </c>
      <c r="AF8" s="31">
        <v>0</v>
      </c>
    </row>
    <row r="9" spans="1:32" ht="30" hidden="1" x14ac:dyDescent="0.25">
      <c r="A9" s="9" t="s">
        <v>108</v>
      </c>
      <c r="B9" s="6" t="s">
        <v>9</v>
      </c>
      <c r="C9" s="1" t="s">
        <v>266</v>
      </c>
      <c r="D9" s="6" t="s">
        <v>390</v>
      </c>
      <c r="E9" s="22" t="s">
        <v>214</v>
      </c>
      <c r="F9" s="1" t="s">
        <v>390</v>
      </c>
      <c r="G9" s="1" t="s">
        <v>75</v>
      </c>
      <c r="H9" s="1" t="s">
        <v>75</v>
      </c>
      <c r="I9" s="1" t="s">
        <v>75</v>
      </c>
      <c r="J9" s="41">
        <v>4937</v>
      </c>
      <c r="K9" s="38">
        <v>720271</v>
      </c>
      <c r="L9" s="41">
        <v>30</v>
      </c>
      <c r="M9" s="41">
        <v>1741</v>
      </c>
      <c r="N9" s="41">
        <v>3307</v>
      </c>
      <c r="O9" s="55">
        <f>SUBTOTAL(9,G9:N9)</f>
        <v>0</v>
      </c>
      <c r="P9" s="57">
        <v>730271</v>
      </c>
      <c r="Q9" s="31"/>
      <c r="R9" s="39">
        <v>730271</v>
      </c>
      <c r="S9" s="39">
        <v>278120</v>
      </c>
      <c r="T9" s="31"/>
      <c r="U9" s="31"/>
      <c r="V9" s="31"/>
      <c r="W9" s="31"/>
      <c r="X9" s="31"/>
      <c r="Y9" s="31"/>
      <c r="Z9" s="31"/>
      <c r="AA9" s="31"/>
      <c r="AB9" s="31"/>
      <c r="AC9" s="31"/>
      <c r="AD9" s="31"/>
      <c r="AE9" s="31"/>
      <c r="AF9" s="31"/>
    </row>
    <row r="10" spans="1:32" ht="30" hidden="1" x14ac:dyDescent="0.25">
      <c r="A10" s="9" t="s">
        <v>112</v>
      </c>
      <c r="B10" s="6" t="s">
        <v>9</v>
      </c>
      <c r="C10" s="1" t="s">
        <v>266</v>
      </c>
      <c r="D10" s="6" t="s">
        <v>390</v>
      </c>
      <c r="E10" s="22" t="s">
        <v>6</v>
      </c>
      <c r="F10" s="1" t="s">
        <v>390</v>
      </c>
      <c r="G10" s="1"/>
      <c r="H10" s="1"/>
      <c r="I10" s="1"/>
      <c r="J10" s="1"/>
      <c r="K10" s="1"/>
      <c r="L10" s="1"/>
      <c r="M10" s="1"/>
      <c r="N10" s="1"/>
      <c r="O10" s="32"/>
      <c r="P10" s="1"/>
      <c r="Q10" s="31"/>
      <c r="R10" s="1"/>
      <c r="S10" s="1"/>
      <c r="T10" s="31">
        <v>0</v>
      </c>
      <c r="U10" s="31" t="s">
        <v>266</v>
      </c>
      <c r="V10" s="31" t="s">
        <v>266</v>
      </c>
      <c r="W10" s="31">
        <v>0</v>
      </c>
      <c r="X10" s="31">
        <v>722587</v>
      </c>
      <c r="Y10" s="31">
        <v>802</v>
      </c>
      <c r="Z10" s="31">
        <v>1027</v>
      </c>
      <c r="AA10" s="31">
        <v>5449</v>
      </c>
      <c r="AB10" s="55">
        <f>SUBTOTAL(9,T10:AA10)</f>
        <v>0</v>
      </c>
      <c r="AC10" s="31">
        <v>735154</v>
      </c>
      <c r="AD10" s="31"/>
      <c r="AE10" s="31">
        <v>735154</v>
      </c>
      <c r="AF10" s="31">
        <v>279273</v>
      </c>
    </row>
    <row r="11" spans="1:32" hidden="1" x14ac:dyDescent="0.25">
      <c r="A11" s="10" t="s">
        <v>26</v>
      </c>
      <c r="B11" s="6" t="s">
        <v>7</v>
      </c>
      <c r="C11" s="1" t="s">
        <v>527</v>
      </c>
      <c r="D11" s="6" t="s">
        <v>527</v>
      </c>
      <c r="E11" s="22" t="s">
        <v>6</v>
      </c>
      <c r="F11" s="1" t="s">
        <v>6</v>
      </c>
      <c r="G11" s="1" t="s">
        <v>75</v>
      </c>
      <c r="H11" s="42">
        <v>44601.69</v>
      </c>
      <c r="I11" s="1" t="s">
        <v>266</v>
      </c>
      <c r="J11" s="42">
        <v>39865.5</v>
      </c>
      <c r="K11" s="1" t="s">
        <v>484</v>
      </c>
      <c r="L11" s="42">
        <v>3042.03</v>
      </c>
      <c r="M11" s="42">
        <v>11445.31</v>
      </c>
      <c r="N11" s="42">
        <v>1931.37</v>
      </c>
      <c r="O11" s="32">
        <f t="shared" ref="O11:O16" si="0">SUBTOTAL(9,G11:N11)</f>
        <v>0</v>
      </c>
      <c r="P11" s="42">
        <v>181582.73</v>
      </c>
      <c r="Q11" s="31">
        <f>SUBTOTAL(9,G11:J11)</f>
        <v>0</v>
      </c>
      <c r="R11" s="42">
        <v>152438.41</v>
      </c>
      <c r="S11" s="42">
        <v>79370.149999999994</v>
      </c>
      <c r="T11" s="31">
        <v>69555</v>
      </c>
      <c r="U11" s="31">
        <v>39058</v>
      </c>
      <c r="V11" s="31">
        <v>0</v>
      </c>
      <c r="W11" s="31">
        <v>43121</v>
      </c>
      <c r="X11" s="31">
        <v>0</v>
      </c>
      <c r="Y11" s="31">
        <v>28292</v>
      </c>
      <c r="Z11" s="31" t="s">
        <v>75</v>
      </c>
      <c r="AA11" s="31" t="s">
        <v>75</v>
      </c>
      <c r="AB11" s="55">
        <f>SUBTOTAL(9,T11:AA11)</f>
        <v>0</v>
      </c>
      <c r="AC11" s="31">
        <v>180025</v>
      </c>
      <c r="AD11" s="31">
        <f>SUBTOTAL(9,T11:W11)</f>
        <v>0</v>
      </c>
      <c r="AE11" s="31">
        <v>153951</v>
      </c>
      <c r="AF11" s="31">
        <v>65064</v>
      </c>
    </row>
    <row r="12" spans="1:32" ht="30" hidden="1" x14ac:dyDescent="0.25">
      <c r="A12" s="12" t="s">
        <v>113</v>
      </c>
      <c r="B12" s="6" t="s">
        <v>9</v>
      </c>
      <c r="C12" s="1"/>
      <c r="D12" s="6" t="s">
        <v>527</v>
      </c>
      <c r="E12" s="22" t="s">
        <v>214</v>
      </c>
      <c r="F12" s="1" t="s">
        <v>6</v>
      </c>
      <c r="G12" s="1">
        <v>10630</v>
      </c>
      <c r="H12" s="1">
        <v>15103</v>
      </c>
      <c r="I12" s="1">
        <v>2588</v>
      </c>
      <c r="J12" s="1">
        <v>16996</v>
      </c>
      <c r="K12" s="1">
        <v>350000</v>
      </c>
      <c r="L12" s="1">
        <v>2222</v>
      </c>
      <c r="M12" s="1">
        <v>869</v>
      </c>
      <c r="N12" s="1">
        <v>262</v>
      </c>
      <c r="O12" s="55">
        <f t="shared" si="0"/>
        <v>0</v>
      </c>
      <c r="P12" s="13">
        <v>48670</v>
      </c>
      <c r="Q12" s="31"/>
      <c r="R12" s="1">
        <v>351139</v>
      </c>
      <c r="S12" s="1">
        <v>147588</v>
      </c>
      <c r="T12" s="31"/>
      <c r="U12" s="31"/>
      <c r="V12" s="31"/>
      <c r="W12" s="31"/>
      <c r="X12" s="31"/>
      <c r="Y12" s="31"/>
      <c r="Z12" s="31"/>
      <c r="AA12" s="31"/>
      <c r="AB12" s="31"/>
      <c r="AC12" s="31"/>
      <c r="AD12" s="31"/>
      <c r="AE12" s="31"/>
      <c r="AF12" s="31"/>
    </row>
    <row r="13" spans="1:32" ht="30" hidden="1" x14ac:dyDescent="0.25">
      <c r="A13" s="12" t="s">
        <v>115</v>
      </c>
      <c r="B13" s="6" t="s">
        <v>9</v>
      </c>
      <c r="C13" s="1" t="s">
        <v>527</v>
      </c>
      <c r="D13" s="6" t="s">
        <v>527</v>
      </c>
      <c r="E13" s="22" t="s">
        <v>214</v>
      </c>
      <c r="F13" s="1" t="s">
        <v>6</v>
      </c>
      <c r="G13" s="1">
        <v>8221</v>
      </c>
      <c r="H13" s="1">
        <v>3644</v>
      </c>
      <c r="I13" s="1">
        <v>0</v>
      </c>
      <c r="J13" s="1">
        <v>5333</v>
      </c>
      <c r="K13" s="1">
        <v>50000</v>
      </c>
      <c r="L13" s="1">
        <v>174</v>
      </c>
      <c r="M13" s="1">
        <v>239</v>
      </c>
      <c r="N13" s="1">
        <v>0</v>
      </c>
      <c r="O13" s="32">
        <f t="shared" si="0"/>
        <v>0</v>
      </c>
      <c r="P13" s="1">
        <v>17611</v>
      </c>
      <c r="Q13" s="31">
        <f>SUBTOTAL(9,G13)</f>
        <v>0</v>
      </c>
      <c r="R13" s="1">
        <v>49995</v>
      </c>
      <c r="S13" s="1">
        <v>20055</v>
      </c>
      <c r="T13" s="31">
        <v>38841</v>
      </c>
      <c r="U13" s="31">
        <v>16389</v>
      </c>
      <c r="V13" s="31">
        <v>3501</v>
      </c>
      <c r="W13" s="31">
        <v>9341</v>
      </c>
      <c r="X13" s="31">
        <v>475579</v>
      </c>
      <c r="Y13" s="31">
        <v>2806</v>
      </c>
      <c r="Z13" s="31">
        <v>3888</v>
      </c>
      <c r="AA13" s="31">
        <v>1033</v>
      </c>
      <c r="AB13" s="55">
        <f>SUBTOTAL(9,T13:AA13)</f>
        <v>0</v>
      </c>
      <c r="AC13" s="31">
        <v>73489</v>
      </c>
      <c r="AD13" s="31">
        <f>SUBTOTAL(9,T13)</f>
        <v>0</v>
      </c>
      <c r="AE13" s="31">
        <v>403027</v>
      </c>
      <c r="AF13" s="31">
        <v>191104</v>
      </c>
    </row>
    <row r="14" spans="1:32" ht="30" hidden="1" x14ac:dyDescent="0.25">
      <c r="A14" s="11" t="s">
        <v>215</v>
      </c>
      <c r="B14" s="6" t="s">
        <v>27</v>
      </c>
      <c r="C14" s="1"/>
      <c r="D14" s="6" t="s">
        <v>528</v>
      </c>
      <c r="E14" s="22" t="s">
        <v>214</v>
      </c>
      <c r="F14" s="1" t="s">
        <v>221</v>
      </c>
      <c r="G14" s="1">
        <v>0</v>
      </c>
      <c r="H14" s="41">
        <v>30126</v>
      </c>
      <c r="I14" s="1" t="s">
        <v>266</v>
      </c>
      <c r="J14" s="41">
        <v>70155</v>
      </c>
      <c r="K14" s="41">
        <v>2142683</v>
      </c>
      <c r="L14" s="41">
        <v>33963</v>
      </c>
      <c r="M14" s="41">
        <v>10478</v>
      </c>
      <c r="N14" s="41">
        <v>559800</v>
      </c>
      <c r="O14" s="55">
        <f t="shared" si="0"/>
        <v>0</v>
      </c>
      <c r="P14" s="58">
        <v>2847205</v>
      </c>
      <c r="Q14" s="31"/>
      <c r="R14" s="41">
        <v>1504935</v>
      </c>
      <c r="S14" s="41">
        <v>1106000</v>
      </c>
      <c r="T14" s="31"/>
      <c r="U14" s="31"/>
      <c r="V14" s="31"/>
      <c r="W14" s="31"/>
      <c r="X14" s="31"/>
      <c r="Y14" s="31"/>
      <c r="Z14" s="31"/>
      <c r="AA14" s="31"/>
      <c r="AB14" s="31"/>
      <c r="AC14" s="31"/>
      <c r="AD14" s="31"/>
      <c r="AE14" s="31"/>
      <c r="AF14" s="31"/>
    </row>
    <row r="15" spans="1:32" hidden="1" x14ac:dyDescent="0.25">
      <c r="A15" s="12" t="s">
        <v>28</v>
      </c>
      <c r="B15" s="6" t="s">
        <v>27</v>
      </c>
      <c r="C15" s="1" t="s">
        <v>614</v>
      </c>
      <c r="D15" s="6" t="s">
        <v>529</v>
      </c>
      <c r="E15" s="22" t="s">
        <v>6</v>
      </c>
      <c r="F15" s="1" t="s">
        <v>221</v>
      </c>
      <c r="G15" s="41">
        <v>0</v>
      </c>
      <c r="H15" s="38">
        <v>243000</v>
      </c>
      <c r="I15" s="38">
        <v>7000</v>
      </c>
      <c r="J15" s="41">
        <v>190000</v>
      </c>
      <c r="K15" s="41">
        <v>3455000</v>
      </c>
      <c r="L15" s="41">
        <v>80000</v>
      </c>
      <c r="M15" s="41">
        <v>1966000</v>
      </c>
      <c r="N15" s="41">
        <v>3067000</v>
      </c>
      <c r="O15" s="55">
        <f t="shared" si="0"/>
        <v>0</v>
      </c>
      <c r="P15" s="58">
        <v>9008000</v>
      </c>
      <c r="Q15" s="31"/>
      <c r="R15" s="41">
        <v>8124000</v>
      </c>
      <c r="S15" s="41">
        <v>5940000</v>
      </c>
      <c r="T15" s="31">
        <v>0</v>
      </c>
      <c r="U15" s="31">
        <v>233000</v>
      </c>
      <c r="V15" s="31" t="s">
        <v>650</v>
      </c>
      <c r="W15" s="31">
        <v>138000</v>
      </c>
      <c r="X15" s="31">
        <v>2913000</v>
      </c>
      <c r="Y15" s="31">
        <v>2523000</v>
      </c>
      <c r="Z15" s="31">
        <v>360000</v>
      </c>
      <c r="AA15" s="31">
        <v>3555000</v>
      </c>
      <c r="AB15" s="55">
        <f>SUBTOTAL(9,T15:AA15)</f>
        <v>0</v>
      </c>
      <c r="AC15" s="31">
        <v>9722000</v>
      </c>
      <c r="AD15" s="31"/>
      <c r="AE15" s="31">
        <v>7718000</v>
      </c>
      <c r="AF15" s="31">
        <v>5370000</v>
      </c>
    </row>
    <row r="16" spans="1:32" hidden="1" x14ac:dyDescent="0.25">
      <c r="A16" s="11" t="s">
        <v>70</v>
      </c>
      <c r="B16" s="6" t="s">
        <v>9</v>
      </c>
      <c r="C16" s="1" t="s">
        <v>528</v>
      </c>
      <c r="D16" s="6" t="s">
        <v>528</v>
      </c>
      <c r="E16" s="22" t="s">
        <v>6</v>
      </c>
      <c r="F16" s="1" t="s">
        <v>221</v>
      </c>
      <c r="G16" s="1" t="s">
        <v>75</v>
      </c>
      <c r="H16" s="1">
        <v>9184</v>
      </c>
      <c r="I16" s="1">
        <v>1825</v>
      </c>
      <c r="J16" s="1">
        <v>81034</v>
      </c>
      <c r="K16" s="1">
        <v>546447</v>
      </c>
      <c r="L16" s="1">
        <v>2819</v>
      </c>
      <c r="M16" s="1">
        <v>3870</v>
      </c>
      <c r="N16" s="1">
        <v>5631</v>
      </c>
      <c r="O16" s="55">
        <f t="shared" si="0"/>
        <v>0</v>
      </c>
      <c r="P16" s="13">
        <v>650810</v>
      </c>
      <c r="Q16" s="31"/>
      <c r="R16" s="1">
        <v>650810</v>
      </c>
      <c r="S16" s="1">
        <v>424030</v>
      </c>
      <c r="T16" s="31" t="s">
        <v>75</v>
      </c>
      <c r="U16" s="31" t="s">
        <v>75</v>
      </c>
      <c r="V16" s="31" t="s">
        <v>75</v>
      </c>
      <c r="W16" s="31" t="s">
        <v>75</v>
      </c>
      <c r="X16" s="31" t="s">
        <v>75</v>
      </c>
      <c r="Y16" s="31" t="s">
        <v>75</v>
      </c>
      <c r="Z16" s="31" t="s">
        <v>75</v>
      </c>
      <c r="AA16" s="31" t="s">
        <v>75</v>
      </c>
      <c r="AB16" s="31"/>
      <c r="AC16" s="31" t="s">
        <v>75</v>
      </c>
      <c r="AD16" s="31"/>
      <c r="AE16" s="31" t="s">
        <v>75</v>
      </c>
      <c r="AF16" s="31" t="s">
        <v>75</v>
      </c>
    </row>
    <row r="17" spans="1:32" hidden="1" x14ac:dyDescent="0.25">
      <c r="A17" s="8" t="s">
        <v>72</v>
      </c>
      <c r="B17" s="6" t="s">
        <v>8</v>
      </c>
      <c r="C17" s="1"/>
      <c r="D17" s="6"/>
      <c r="E17" s="22"/>
      <c r="F17" s="22" t="s">
        <v>221</v>
      </c>
      <c r="G17" s="22"/>
      <c r="H17" s="22"/>
      <c r="I17" s="22"/>
      <c r="J17" s="22"/>
      <c r="K17" s="22"/>
      <c r="L17" s="22"/>
      <c r="M17" s="22"/>
      <c r="N17" s="22"/>
      <c r="O17" s="32"/>
      <c r="P17" s="22"/>
      <c r="Q17" s="31"/>
      <c r="R17" s="22"/>
      <c r="S17" s="22"/>
      <c r="T17" s="31"/>
      <c r="U17" s="31"/>
      <c r="V17" s="31"/>
      <c r="W17" s="31"/>
      <c r="X17" s="31"/>
      <c r="Y17" s="31"/>
      <c r="Z17" s="31"/>
      <c r="AA17" s="31"/>
      <c r="AB17" s="31"/>
      <c r="AC17" s="31"/>
      <c r="AD17" s="31"/>
      <c r="AE17" s="31"/>
      <c r="AF17" s="31"/>
    </row>
    <row r="18" spans="1:32" x14ac:dyDescent="0.25">
      <c r="A18" s="15" t="s">
        <v>176</v>
      </c>
      <c r="B18" s="6" t="s">
        <v>7</v>
      </c>
      <c r="C18" s="1" t="s">
        <v>526</v>
      </c>
      <c r="D18" s="6" t="s">
        <v>526</v>
      </c>
      <c r="E18" s="22" t="s">
        <v>6</v>
      </c>
      <c r="F18" s="1" t="s">
        <v>6</v>
      </c>
      <c r="G18" s="1">
        <v>30229</v>
      </c>
      <c r="H18" s="1">
        <v>6500</v>
      </c>
      <c r="I18" s="1">
        <v>3041</v>
      </c>
      <c r="J18" s="1">
        <v>1929</v>
      </c>
      <c r="K18" s="1">
        <v>21565</v>
      </c>
      <c r="L18" s="1">
        <v>23054</v>
      </c>
      <c r="M18" s="1">
        <v>12273</v>
      </c>
      <c r="N18" s="1">
        <v>57331</v>
      </c>
      <c r="O18" s="55">
        <f>SUBTOTAL(9,G18:N18)</f>
        <v>155922</v>
      </c>
      <c r="P18" s="13">
        <v>155922</v>
      </c>
      <c r="Q18" s="31">
        <f>SUBTOTAL(9,G18:J18)</f>
        <v>41699</v>
      </c>
      <c r="R18" s="1">
        <v>165087</v>
      </c>
      <c r="S18" s="1">
        <v>94768</v>
      </c>
      <c r="T18" s="31">
        <v>24596</v>
      </c>
      <c r="U18" s="31">
        <v>7026</v>
      </c>
      <c r="V18" s="31" t="s">
        <v>301</v>
      </c>
      <c r="W18" s="31">
        <v>16319</v>
      </c>
      <c r="X18" s="31">
        <v>17456</v>
      </c>
      <c r="Y18" s="31">
        <v>18349</v>
      </c>
      <c r="Z18" s="31">
        <v>12600</v>
      </c>
      <c r="AA18" s="31">
        <v>49934</v>
      </c>
      <c r="AB18" s="55">
        <f>SUBTOTAL(9,T18:AA18)</f>
        <v>146280</v>
      </c>
      <c r="AC18" s="31">
        <v>146280</v>
      </c>
      <c r="AD18" s="31">
        <f>SUBTOTAL(9,T18:W18)</f>
        <v>47941</v>
      </c>
      <c r="AE18" s="31">
        <v>156631</v>
      </c>
      <c r="AF18" s="31">
        <v>56170</v>
      </c>
    </row>
    <row r="19" spans="1:32" hidden="1" x14ac:dyDescent="0.25">
      <c r="A19" s="10" t="s">
        <v>116</v>
      </c>
      <c r="B19" s="6" t="s">
        <v>9</v>
      </c>
      <c r="C19" s="1" t="s">
        <v>526</v>
      </c>
      <c r="D19" s="6" t="s">
        <v>526</v>
      </c>
      <c r="E19" s="22" t="s">
        <v>6</v>
      </c>
      <c r="F19" s="1" t="s">
        <v>221</v>
      </c>
      <c r="G19" s="41">
        <v>0</v>
      </c>
      <c r="H19" s="41">
        <v>3500</v>
      </c>
      <c r="I19" s="41">
        <v>0</v>
      </c>
      <c r="J19" s="41">
        <v>2000</v>
      </c>
      <c r="K19" s="41">
        <v>75000</v>
      </c>
      <c r="L19" s="41">
        <v>1500</v>
      </c>
      <c r="M19" s="41">
        <v>3000</v>
      </c>
      <c r="N19" s="41">
        <v>5000</v>
      </c>
      <c r="O19" s="55">
        <f>SUBTOTAL(9,G19:N19)</f>
        <v>0</v>
      </c>
      <c r="P19" s="58">
        <v>90000</v>
      </c>
      <c r="Q19" s="35">
        <f>SUBTOTAL(9,G19:J19)</f>
        <v>0</v>
      </c>
      <c r="R19" s="41">
        <v>77647</v>
      </c>
      <c r="S19" s="41">
        <v>45000</v>
      </c>
      <c r="T19" s="31">
        <v>0</v>
      </c>
      <c r="U19" s="31">
        <v>1500</v>
      </c>
      <c r="V19" s="31" t="s">
        <v>266</v>
      </c>
      <c r="W19" s="31">
        <v>3500</v>
      </c>
      <c r="X19" s="31">
        <v>72000</v>
      </c>
      <c r="Y19" s="31">
        <v>1200</v>
      </c>
      <c r="Z19" s="31">
        <v>2500</v>
      </c>
      <c r="AA19" s="31">
        <v>5000</v>
      </c>
      <c r="AB19" s="55">
        <f>SUBTOTAL(9,T19:AA19)</f>
        <v>0</v>
      </c>
      <c r="AC19" s="31">
        <v>85700</v>
      </c>
      <c r="AD19" s="35">
        <f>SUBTOTAL(9,T19:W22)</f>
        <v>14369</v>
      </c>
      <c r="AE19" s="31">
        <v>82647</v>
      </c>
      <c r="AF19" s="31">
        <v>35500</v>
      </c>
    </row>
    <row r="20" spans="1:32" x14ac:dyDescent="0.25">
      <c r="A20" s="15" t="s">
        <v>177</v>
      </c>
      <c r="B20" s="6" t="s">
        <v>7</v>
      </c>
      <c r="C20" s="1" t="s">
        <v>266</v>
      </c>
      <c r="D20" s="6" t="s">
        <v>528</v>
      </c>
      <c r="E20" s="22" t="s">
        <v>6</v>
      </c>
      <c r="F20" s="1" t="s">
        <v>221</v>
      </c>
      <c r="G20" s="1">
        <v>0</v>
      </c>
      <c r="H20" s="1">
        <v>0</v>
      </c>
      <c r="I20" s="1">
        <v>0</v>
      </c>
      <c r="J20" s="1" t="s">
        <v>75</v>
      </c>
      <c r="K20" s="1" t="s">
        <v>75</v>
      </c>
      <c r="L20" s="1">
        <v>1144</v>
      </c>
      <c r="M20" s="1">
        <v>5000</v>
      </c>
      <c r="N20" s="1">
        <v>650</v>
      </c>
      <c r="O20" s="55">
        <f>SUBTOTAL(9,G20:N20)</f>
        <v>6794</v>
      </c>
      <c r="P20" s="13">
        <v>6974</v>
      </c>
      <c r="Q20" s="31">
        <f>SUBTOTAL(9,G20:J20)</f>
        <v>0</v>
      </c>
      <c r="R20" s="1">
        <v>4446</v>
      </c>
      <c r="S20" s="1">
        <v>0</v>
      </c>
      <c r="T20" s="31">
        <v>0</v>
      </c>
      <c r="U20" s="31">
        <v>0</v>
      </c>
      <c r="V20" s="31">
        <v>0</v>
      </c>
      <c r="W20" s="31">
        <v>0</v>
      </c>
      <c r="X20" s="31">
        <v>5000</v>
      </c>
      <c r="Y20" s="31">
        <v>1342</v>
      </c>
      <c r="Z20" s="31">
        <v>0</v>
      </c>
      <c r="AA20" s="31">
        <v>0</v>
      </c>
      <c r="AB20" s="55">
        <f>SUBTOTAL(9,T20:AA20)</f>
        <v>6342</v>
      </c>
      <c r="AC20" s="31">
        <v>6342</v>
      </c>
      <c r="AD20" s="31">
        <f>SUBTOTAL(9,T20:W20)</f>
        <v>0</v>
      </c>
      <c r="AE20" s="31">
        <v>3938</v>
      </c>
      <c r="AF20" s="31">
        <v>585</v>
      </c>
    </row>
    <row r="21" spans="1:32" x14ac:dyDescent="0.25">
      <c r="A21" s="15" t="s">
        <v>178</v>
      </c>
      <c r="B21" s="6" t="s">
        <v>7</v>
      </c>
      <c r="C21" s="1" t="s">
        <v>527</v>
      </c>
      <c r="D21" s="6" t="s">
        <v>527</v>
      </c>
      <c r="E21" s="22" t="s">
        <v>6</v>
      </c>
      <c r="F21" s="1" t="s">
        <v>221</v>
      </c>
      <c r="G21" s="1" t="s">
        <v>75</v>
      </c>
      <c r="H21" s="1">
        <v>16435</v>
      </c>
      <c r="I21" s="1" t="s">
        <v>75</v>
      </c>
      <c r="J21" s="1">
        <v>1935</v>
      </c>
      <c r="K21" s="1" t="s">
        <v>75</v>
      </c>
      <c r="L21" s="41">
        <v>16116</v>
      </c>
      <c r="M21" s="1">
        <v>1500</v>
      </c>
      <c r="N21" s="1">
        <v>6375</v>
      </c>
      <c r="O21" s="55">
        <f>SUBTOTAL(9,G21:N21)</f>
        <v>42361</v>
      </c>
      <c r="P21" s="13">
        <v>42361</v>
      </c>
      <c r="Q21" s="31">
        <f>SUBTOTAL(9,G21:J21)</f>
        <v>18370</v>
      </c>
      <c r="R21" s="1">
        <v>37644</v>
      </c>
      <c r="S21" s="1">
        <v>11260</v>
      </c>
      <c r="T21" s="31">
        <v>0</v>
      </c>
      <c r="U21" s="31">
        <v>14369</v>
      </c>
      <c r="V21" s="31">
        <v>0</v>
      </c>
      <c r="W21" s="31">
        <v>0</v>
      </c>
      <c r="X21" s="31">
        <v>0</v>
      </c>
      <c r="Y21" s="31">
        <v>15748</v>
      </c>
      <c r="Z21" s="31">
        <v>0</v>
      </c>
      <c r="AA21" s="31">
        <v>0</v>
      </c>
      <c r="AB21" s="55">
        <f>SUBTOTAL(9,T21:AA21)</f>
        <v>30117</v>
      </c>
      <c r="AC21" s="31">
        <v>26638</v>
      </c>
      <c r="AD21" s="31">
        <f>SUBTOTAL(9,T21:W21)</f>
        <v>14369</v>
      </c>
      <c r="AE21" s="31" t="s">
        <v>75</v>
      </c>
      <c r="AF21" s="31">
        <v>11260</v>
      </c>
    </row>
    <row r="22" spans="1:32" ht="30" hidden="1" x14ac:dyDescent="0.25">
      <c r="A22" s="18" t="s">
        <v>179</v>
      </c>
      <c r="B22" s="6" t="s">
        <v>7</v>
      </c>
      <c r="C22" s="1"/>
      <c r="D22" s="6" t="s">
        <v>527</v>
      </c>
      <c r="E22" s="22" t="s">
        <v>214</v>
      </c>
      <c r="F22" s="1" t="s">
        <v>6</v>
      </c>
      <c r="G22" s="38">
        <v>89371</v>
      </c>
      <c r="H22" s="38">
        <v>263871</v>
      </c>
      <c r="I22" s="38">
        <v>49665</v>
      </c>
      <c r="J22" s="38">
        <v>4980</v>
      </c>
      <c r="K22" s="38">
        <v>0</v>
      </c>
      <c r="L22" s="38">
        <v>46715</v>
      </c>
      <c r="M22" s="38">
        <v>864016</v>
      </c>
      <c r="N22" s="38">
        <v>580500</v>
      </c>
      <c r="O22" s="55">
        <f>SUBTOTAL(9,G22:N22)</f>
        <v>0</v>
      </c>
      <c r="P22" s="38">
        <v>1121518</v>
      </c>
      <c r="Q22" s="31"/>
      <c r="R22" s="38">
        <v>1248348</v>
      </c>
      <c r="S22" s="38">
        <v>550231</v>
      </c>
      <c r="T22" s="31"/>
      <c r="U22" s="31"/>
      <c r="V22" s="31"/>
      <c r="W22" s="31"/>
      <c r="X22" s="31"/>
      <c r="Y22" s="31"/>
      <c r="Z22" s="31"/>
      <c r="AA22" s="31"/>
      <c r="AB22" s="31"/>
      <c r="AC22" s="31"/>
      <c r="AD22" s="31"/>
      <c r="AE22" s="31"/>
      <c r="AF22" s="31"/>
    </row>
    <row r="23" spans="1:32" ht="30" hidden="1" x14ac:dyDescent="0.25">
      <c r="A23" s="11" t="s">
        <v>73</v>
      </c>
      <c r="B23" s="6" t="s">
        <v>9</v>
      </c>
      <c r="C23" s="14" t="s">
        <v>527</v>
      </c>
      <c r="D23" s="6" t="s">
        <v>527</v>
      </c>
      <c r="E23" s="22"/>
      <c r="F23" s="22" t="s">
        <v>221</v>
      </c>
      <c r="G23" s="22"/>
      <c r="H23" s="22"/>
      <c r="I23" s="22"/>
      <c r="J23" s="22"/>
      <c r="K23" s="22"/>
      <c r="L23" s="22"/>
      <c r="M23" s="22"/>
      <c r="N23" s="22"/>
      <c r="O23" s="33"/>
      <c r="P23" s="22"/>
      <c r="Q23" s="35"/>
      <c r="R23" s="22"/>
      <c r="S23" s="22"/>
      <c r="T23" s="35" t="s">
        <v>75</v>
      </c>
      <c r="U23" s="35">
        <v>8455.89</v>
      </c>
      <c r="V23" s="35">
        <v>43</v>
      </c>
      <c r="W23" s="35">
        <v>38563.019999999997</v>
      </c>
      <c r="X23" s="35">
        <v>1147108.8700000001</v>
      </c>
      <c r="Y23" s="35">
        <v>2632.02</v>
      </c>
      <c r="Z23" s="35">
        <v>4500</v>
      </c>
      <c r="AA23" s="35">
        <v>32577.66</v>
      </c>
      <c r="AB23" s="62" t="e">
        <f>SUBTOTAL(9,U23:AA23,#REF!,U5:Y5,U22:Y22)</f>
        <v>#REF!</v>
      </c>
      <c r="AC23" s="35">
        <v>1262728.8799999999</v>
      </c>
      <c r="AD23" s="35">
        <v>66351</v>
      </c>
      <c r="AE23" s="35">
        <v>1147108.8700000001</v>
      </c>
      <c r="AF23" s="35">
        <v>601606.98</v>
      </c>
    </row>
    <row r="24" spans="1:32" ht="30" hidden="1" x14ac:dyDescent="0.25">
      <c r="A24" s="11" t="s">
        <v>76</v>
      </c>
      <c r="B24" s="6" t="s">
        <v>9</v>
      </c>
      <c r="C24" s="14" t="s">
        <v>527</v>
      </c>
      <c r="D24" s="6" t="s">
        <v>527</v>
      </c>
      <c r="E24" s="22"/>
      <c r="F24" s="1" t="s">
        <v>221</v>
      </c>
      <c r="G24" s="1"/>
      <c r="H24" s="1"/>
      <c r="I24" s="1"/>
      <c r="J24" s="1"/>
      <c r="K24" s="1"/>
      <c r="L24" s="1"/>
      <c r="M24" s="1"/>
      <c r="N24" s="1"/>
      <c r="O24" s="33" t="s">
        <v>609</v>
      </c>
      <c r="P24" s="1"/>
      <c r="Q24" s="35"/>
      <c r="R24" s="1"/>
      <c r="S24" s="1"/>
      <c r="T24" s="35">
        <v>0</v>
      </c>
      <c r="U24" s="35">
        <v>888.96</v>
      </c>
      <c r="V24" s="35">
        <v>1207.99</v>
      </c>
      <c r="W24" s="35" t="s">
        <v>609</v>
      </c>
      <c r="X24" s="35" t="s">
        <v>609</v>
      </c>
      <c r="Y24" s="35">
        <v>538</v>
      </c>
      <c r="Z24" s="35" t="s">
        <v>609</v>
      </c>
      <c r="AA24" s="35" t="s">
        <v>609</v>
      </c>
      <c r="AB24" s="62" t="s">
        <v>609</v>
      </c>
      <c r="AC24" s="35" t="s">
        <v>609</v>
      </c>
      <c r="AD24" s="35"/>
      <c r="AE24" s="35" t="s">
        <v>609</v>
      </c>
      <c r="AF24" s="35" t="s">
        <v>609</v>
      </c>
    </row>
    <row r="25" spans="1:32" ht="30" hidden="1" x14ac:dyDescent="0.25">
      <c r="A25" s="11" t="s">
        <v>77</v>
      </c>
      <c r="B25" s="6" t="s">
        <v>9</v>
      </c>
      <c r="C25" s="14" t="s">
        <v>527</v>
      </c>
      <c r="D25" s="6" t="s">
        <v>527</v>
      </c>
      <c r="E25" s="22"/>
      <c r="F25" s="22" t="s">
        <v>221</v>
      </c>
      <c r="G25" s="22"/>
      <c r="H25" s="22"/>
      <c r="I25" s="22"/>
      <c r="J25" s="22"/>
      <c r="K25" s="22"/>
      <c r="L25" s="22"/>
      <c r="M25" s="22"/>
      <c r="N25" s="22"/>
      <c r="O25" s="33" t="s">
        <v>609</v>
      </c>
      <c r="P25" s="22"/>
      <c r="Q25" s="35"/>
      <c r="R25" s="22"/>
      <c r="S25" s="22"/>
      <c r="T25" s="35">
        <v>0</v>
      </c>
      <c r="U25" s="35">
        <v>3975.77</v>
      </c>
      <c r="V25" s="35">
        <v>7864.29</v>
      </c>
      <c r="W25" s="35" t="s">
        <v>609</v>
      </c>
      <c r="X25" s="35" t="s">
        <v>609</v>
      </c>
      <c r="Y25" s="35">
        <v>8334.7999999999993</v>
      </c>
      <c r="Z25" s="35" t="s">
        <v>609</v>
      </c>
      <c r="AA25" s="35" t="s">
        <v>609</v>
      </c>
      <c r="AB25" s="62" t="s">
        <v>609</v>
      </c>
      <c r="AC25" s="35" t="s">
        <v>609</v>
      </c>
      <c r="AD25" s="35"/>
      <c r="AE25" s="35" t="s">
        <v>609</v>
      </c>
      <c r="AF25" s="35" t="s">
        <v>609</v>
      </c>
    </row>
    <row r="26" spans="1:32" ht="30" hidden="1" x14ac:dyDescent="0.25">
      <c r="A26" s="11" t="s">
        <v>78</v>
      </c>
      <c r="B26" s="6" t="s">
        <v>9</v>
      </c>
      <c r="C26" s="14" t="s">
        <v>526</v>
      </c>
      <c r="D26" s="6" t="s">
        <v>526</v>
      </c>
      <c r="E26" s="22"/>
      <c r="F26" s="22" t="s">
        <v>221</v>
      </c>
      <c r="G26" s="22"/>
      <c r="H26" s="22"/>
      <c r="I26" s="22"/>
      <c r="J26" s="22"/>
      <c r="K26" s="22"/>
      <c r="L26" s="22"/>
      <c r="M26" s="22"/>
      <c r="N26" s="22"/>
      <c r="O26" s="33" t="s">
        <v>609</v>
      </c>
      <c r="P26" s="22"/>
      <c r="Q26" s="35"/>
      <c r="R26" s="22"/>
      <c r="S26" s="22"/>
      <c r="T26" s="35">
        <v>0</v>
      </c>
      <c r="U26" s="35">
        <v>4677.79</v>
      </c>
      <c r="V26" s="35">
        <v>674.59</v>
      </c>
      <c r="W26" s="35" t="s">
        <v>609</v>
      </c>
      <c r="X26" s="35" t="s">
        <v>609</v>
      </c>
      <c r="Y26" s="35" t="s">
        <v>609</v>
      </c>
      <c r="Z26" s="35" t="s">
        <v>609</v>
      </c>
      <c r="AA26" s="35" t="s">
        <v>609</v>
      </c>
      <c r="AB26" s="62" t="s">
        <v>609</v>
      </c>
      <c r="AC26" s="35" t="s">
        <v>609</v>
      </c>
      <c r="AD26" s="35"/>
      <c r="AE26" s="35" t="s">
        <v>609</v>
      </c>
      <c r="AF26" s="35" t="s">
        <v>609</v>
      </c>
    </row>
    <row r="27" spans="1:32" hidden="1" x14ac:dyDescent="0.25">
      <c r="A27" s="11" t="s">
        <v>117</v>
      </c>
      <c r="B27" s="6" t="s">
        <v>9</v>
      </c>
      <c r="C27" s="1" t="s">
        <v>526</v>
      </c>
      <c r="D27" s="6" t="s">
        <v>526</v>
      </c>
      <c r="E27" s="22" t="s">
        <v>6</v>
      </c>
      <c r="F27" s="1" t="s">
        <v>221</v>
      </c>
      <c r="G27" s="1" t="s">
        <v>75</v>
      </c>
      <c r="H27" s="1" t="s">
        <v>75</v>
      </c>
      <c r="I27" s="1" t="s">
        <v>75</v>
      </c>
      <c r="J27" s="1" t="s">
        <v>75</v>
      </c>
      <c r="K27" s="1" t="s">
        <v>75</v>
      </c>
      <c r="L27" s="1" t="s">
        <v>75</v>
      </c>
      <c r="M27" s="1">
        <v>530</v>
      </c>
      <c r="N27" s="39">
        <v>175800</v>
      </c>
      <c r="O27" s="32">
        <f>SUBTOTAL(9,G27:N27)</f>
        <v>0</v>
      </c>
      <c r="P27" s="1" t="s">
        <v>75</v>
      </c>
      <c r="Q27" s="31"/>
      <c r="R27" s="1" t="s">
        <v>75</v>
      </c>
      <c r="S27" s="1" t="s">
        <v>75</v>
      </c>
      <c r="T27" s="31">
        <v>0</v>
      </c>
      <c r="U27" s="31">
        <v>5764.78</v>
      </c>
      <c r="V27" s="31">
        <v>779</v>
      </c>
      <c r="W27" s="31">
        <v>301.82</v>
      </c>
      <c r="X27" s="31" t="s">
        <v>75</v>
      </c>
      <c r="Y27" s="31">
        <v>1070.04</v>
      </c>
      <c r="Z27" s="31">
        <v>300</v>
      </c>
      <c r="AA27" s="31">
        <v>0</v>
      </c>
      <c r="AB27" s="32">
        <f>SUBTOTAL(9,T27:AA27)</f>
        <v>0</v>
      </c>
      <c r="AC27" s="31" t="s">
        <v>75</v>
      </c>
      <c r="AD27" s="31"/>
      <c r="AE27" s="31" t="s">
        <v>75</v>
      </c>
      <c r="AF27" s="31" t="s">
        <v>75</v>
      </c>
    </row>
    <row r="28" spans="1:32" x14ac:dyDescent="0.25">
      <c r="A28" s="11" t="s">
        <v>118</v>
      </c>
      <c r="B28" s="6" t="s">
        <v>7</v>
      </c>
      <c r="C28" s="1" t="s">
        <v>526</v>
      </c>
      <c r="D28" s="6" t="s">
        <v>526</v>
      </c>
      <c r="E28" s="22" t="s">
        <v>6</v>
      </c>
      <c r="F28" s="1" t="s">
        <v>6</v>
      </c>
      <c r="G28" s="1">
        <v>2064</v>
      </c>
      <c r="H28" s="1" t="s">
        <v>268</v>
      </c>
      <c r="I28" s="1" t="s">
        <v>75</v>
      </c>
      <c r="J28" s="1">
        <v>4667</v>
      </c>
      <c r="K28" s="1">
        <v>0</v>
      </c>
      <c r="L28" s="1">
        <v>2064</v>
      </c>
      <c r="M28" s="1">
        <v>2688</v>
      </c>
      <c r="N28" s="1">
        <v>1000</v>
      </c>
      <c r="O28" s="55">
        <f>SUBTOTAL(9,G28:N28)</f>
        <v>12483</v>
      </c>
      <c r="P28" s="13">
        <v>10419</v>
      </c>
      <c r="Q28" s="31">
        <f>SUBTOTAL(9,G28:J28)</f>
        <v>6731</v>
      </c>
      <c r="R28" s="1">
        <v>5996</v>
      </c>
      <c r="S28" s="1">
        <v>0</v>
      </c>
      <c r="T28" s="31">
        <v>1454</v>
      </c>
      <c r="U28" s="31">
        <v>0</v>
      </c>
      <c r="V28" s="31">
        <v>0</v>
      </c>
      <c r="W28" s="31">
        <v>4490</v>
      </c>
      <c r="X28" s="31">
        <v>0</v>
      </c>
      <c r="Y28" s="31">
        <v>1810</v>
      </c>
      <c r="Z28" s="31">
        <v>0</v>
      </c>
      <c r="AA28" s="31">
        <v>0</v>
      </c>
      <c r="AB28" s="55">
        <f>SUBTOTAL(9,T28:AA28)</f>
        <v>7754</v>
      </c>
      <c r="AC28" s="31">
        <v>7754</v>
      </c>
      <c r="AD28" s="31">
        <f>SUBTOTAL(9,T28:W28)</f>
        <v>5944</v>
      </c>
      <c r="AE28" s="31">
        <v>6601</v>
      </c>
      <c r="AF28" s="31">
        <v>0</v>
      </c>
    </row>
    <row r="29" spans="1:32" x14ac:dyDescent="0.25">
      <c r="A29" s="12" t="s">
        <v>79</v>
      </c>
      <c r="B29" s="6" t="s">
        <v>7</v>
      </c>
      <c r="C29" s="1" t="s">
        <v>526</v>
      </c>
      <c r="D29" s="6" t="s">
        <v>526</v>
      </c>
      <c r="E29" s="22" t="s">
        <v>214</v>
      </c>
      <c r="F29" s="1" t="s">
        <v>6</v>
      </c>
      <c r="G29" s="1">
        <v>1696</v>
      </c>
      <c r="H29" s="1">
        <v>2638</v>
      </c>
      <c r="I29" s="1">
        <v>65</v>
      </c>
      <c r="J29" s="1">
        <v>5325</v>
      </c>
      <c r="K29" s="1" t="s">
        <v>301</v>
      </c>
      <c r="L29" s="1">
        <v>1537</v>
      </c>
      <c r="M29" s="1">
        <v>985</v>
      </c>
      <c r="N29" s="1">
        <v>150</v>
      </c>
      <c r="O29" s="55">
        <f>SUBTOTAL(9,G29:N29)</f>
        <v>12396</v>
      </c>
      <c r="P29" s="13">
        <v>9844</v>
      </c>
      <c r="Q29" s="31">
        <f>SUBTOTAL(9,G29:J29)</f>
        <v>9724</v>
      </c>
      <c r="R29" s="1">
        <v>8991</v>
      </c>
      <c r="S29" s="1">
        <v>0</v>
      </c>
      <c r="T29" s="31">
        <v>1274</v>
      </c>
      <c r="U29" s="31">
        <v>2638</v>
      </c>
      <c r="V29" s="31" t="s">
        <v>266</v>
      </c>
      <c r="W29" s="31">
        <v>3535</v>
      </c>
      <c r="X29" s="31">
        <v>0</v>
      </c>
      <c r="Y29" s="31">
        <v>5420</v>
      </c>
      <c r="Z29" s="31">
        <v>820</v>
      </c>
      <c r="AA29" s="31">
        <v>460</v>
      </c>
      <c r="AB29" s="55">
        <f>SUBTOTAL(9,T29:AA29)</f>
        <v>14147</v>
      </c>
      <c r="AC29" s="31">
        <v>11612</v>
      </c>
      <c r="AD29" s="31">
        <f>SUBTOTAL(9,T29:W29)</f>
        <v>7447</v>
      </c>
      <c r="AE29" s="31">
        <v>10671</v>
      </c>
      <c r="AF29" s="31">
        <v>0</v>
      </c>
    </row>
    <row r="30" spans="1:32" hidden="1" x14ac:dyDescent="0.25">
      <c r="A30" s="10" t="s">
        <v>18</v>
      </c>
      <c r="B30" s="6" t="s">
        <v>7</v>
      </c>
      <c r="C30" s="1" t="s">
        <v>527</v>
      </c>
      <c r="D30" s="6" t="s">
        <v>527</v>
      </c>
      <c r="E30" s="22" t="s">
        <v>6</v>
      </c>
      <c r="F30" s="1" t="s">
        <v>390</v>
      </c>
      <c r="G30" s="1"/>
      <c r="H30" s="1"/>
      <c r="I30" s="1"/>
      <c r="J30" s="1"/>
      <c r="K30" s="1"/>
      <c r="L30" s="1"/>
      <c r="M30" s="1"/>
      <c r="N30" s="1"/>
      <c r="O30" s="32"/>
      <c r="P30" s="1"/>
      <c r="Q30" s="31"/>
      <c r="R30" s="1"/>
      <c r="S30" s="1"/>
      <c r="T30" s="31" t="s">
        <v>651</v>
      </c>
      <c r="U30" s="31">
        <v>10141.99</v>
      </c>
      <c r="V30" s="31" t="s">
        <v>266</v>
      </c>
      <c r="W30" s="31" t="s">
        <v>652</v>
      </c>
      <c r="X30" s="31" t="s">
        <v>652</v>
      </c>
      <c r="Y30" s="31" t="s">
        <v>266</v>
      </c>
      <c r="Z30" s="31" t="s">
        <v>652</v>
      </c>
      <c r="AA30" s="31" t="s">
        <v>652</v>
      </c>
      <c r="AB30" s="31"/>
      <c r="AC30" s="31" t="s">
        <v>266</v>
      </c>
      <c r="AD30" s="31"/>
      <c r="AE30" s="31" t="s">
        <v>652</v>
      </c>
      <c r="AF30" s="31" t="s">
        <v>652</v>
      </c>
    </row>
    <row r="31" spans="1:32" ht="30" x14ac:dyDescent="0.25">
      <c r="A31" s="11" t="s">
        <v>15</v>
      </c>
      <c r="B31" s="6" t="s">
        <v>7</v>
      </c>
      <c r="C31" s="1" t="s">
        <v>614</v>
      </c>
      <c r="D31" s="6" t="s">
        <v>529</v>
      </c>
      <c r="E31" s="22" t="s">
        <v>214</v>
      </c>
      <c r="F31" s="1" t="s">
        <v>320</v>
      </c>
      <c r="G31" s="41">
        <v>73608</v>
      </c>
      <c r="H31" s="41">
        <v>346393</v>
      </c>
      <c r="I31" s="41">
        <v>0</v>
      </c>
      <c r="J31" s="41">
        <v>35720</v>
      </c>
      <c r="K31" s="41">
        <v>0</v>
      </c>
      <c r="L31" s="41">
        <v>11297</v>
      </c>
      <c r="M31" s="41">
        <v>0</v>
      </c>
      <c r="N31" s="41">
        <v>0</v>
      </c>
      <c r="O31" s="55">
        <f>SUBTOTAL(9,G31:N31)</f>
        <v>467018</v>
      </c>
      <c r="P31" s="58">
        <v>467018</v>
      </c>
      <c r="Q31" s="31"/>
      <c r="R31" s="38">
        <v>370430</v>
      </c>
      <c r="S31" s="38">
        <v>285237</v>
      </c>
      <c r="T31" s="31">
        <v>42170</v>
      </c>
      <c r="U31" s="31">
        <v>67636.47</v>
      </c>
      <c r="V31" s="31">
        <v>334588</v>
      </c>
      <c r="W31" s="31">
        <v>479643</v>
      </c>
      <c r="X31" s="31" t="s">
        <v>653</v>
      </c>
      <c r="Y31" s="31">
        <v>10146.31</v>
      </c>
      <c r="Z31" s="31">
        <v>900</v>
      </c>
      <c r="AA31" s="31">
        <v>84701</v>
      </c>
      <c r="AB31" s="55">
        <f t="shared" ref="AB31:AB36" si="1">SUBTOTAL(9,T31:AA31)</f>
        <v>1019784.78</v>
      </c>
      <c r="AC31" s="31">
        <v>575390</v>
      </c>
      <c r="AD31" s="31"/>
      <c r="AE31" s="31">
        <v>1898543</v>
      </c>
      <c r="AF31" s="31">
        <v>1108086</v>
      </c>
    </row>
    <row r="32" spans="1:32" hidden="1" x14ac:dyDescent="0.25">
      <c r="A32" s="10" t="s">
        <v>80</v>
      </c>
      <c r="B32" s="6" t="s">
        <v>7</v>
      </c>
      <c r="C32" s="1" t="s">
        <v>527</v>
      </c>
      <c r="D32" s="6" t="s">
        <v>527</v>
      </c>
      <c r="E32" s="22" t="s">
        <v>6</v>
      </c>
      <c r="F32" s="1" t="s">
        <v>221</v>
      </c>
      <c r="G32" s="1">
        <v>0</v>
      </c>
      <c r="H32" s="1" t="s">
        <v>75</v>
      </c>
      <c r="I32" s="1">
        <v>0</v>
      </c>
      <c r="J32" s="1" t="s">
        <v>75</v>
      </c>
      <c r="K32" s="1">
        <v>0</v>
      </c>
      <c r="L32" s="1" t="s">
        <v>75</v>
      </c>
      <c r="M32" s="1" t="s">
        <v>75</v>
      </c>
      <c r="N32" s="1" t="s">
        <v>75</v>
      </c>
      <c r="O32" s="32"/>
      <c r="P32" s="1" t="s">
        <v>75</v>
      </c>
      <c r="Q32" s="31">
        <f>SUBTOTAL(9,G32:J32)</f>
        <v>0</v>
      </c>
      <c r="R32" s="1" t="s">
        <v>75</v>
      </c>
      <c r="S32" s="1" t="s">
        <v>75</v>
      </c>
      <c r="T32" s="31">
        <v>0</v>
      </c>
      <c r="U32" s="31">
        <v>82010</v>
      </c>
      <c r="V32" s="31">
        <v>0</v>
      </c>
      <c r="W32" s="31">
        <v>4806</v>
      </c>
      <c r="X32" s="31">
        <v>0</v>
      </c>
      <c r="Y32" s="31">
        <v>4213</v>
      </c>
      <c r="Z32" s="31">
        <v>18743</v>
      </c>
      <c r="AA32" s="31">
        <v>5729</v>
      </c>
      <c r="AB32" s="55">
        <f t="shared" si="1"/>
        <v>0</v>
      </c>
      <c r="AC32" s="31">
        <v>109772</v>
      </c>
      <c r="AD32" s="31">
        <f>SUBTOTAL(9,T32:W32)</f>
        <v>0</v>
      </c>
      <c r="AE32" s="31">
        <v>53060</v>
      </c>
      <c r="AF32" s="31">
        <v>0</v>
      </c>
    </row>
    <row r="33" spans="1:32" hidden="1" x14ac:dyDescent="0.25">
      <c r="A33" s="12" t="s">
        <v>81</v>
      </c>
      <c r="B33" s="6" t="s">
        <v>9</v>
      </c>
      <c r="C33" s="1" t="s">
        <v>527</v>
      </c>
      <c r="D33" s="6" t="s">
        <v>527</v>
      </c>
      <c r="E33" s="22" t="s">
        <v>214</v>
      </c>
      <c r="F33" s="1" t="s">
        <v>6</v>
      </c>
      <c r="G33" s="40">
        <v>10347.65</v>
      </c>
      <c r="H33" s="40">
        <v>4224</v>
      </c>
      <c r="I33" s="1">
        <v>0</v>
      </c>
      <c r="J33" s="39">
        <v>15000</v>
      </c>
      <c r="K33" s="1" t="s">
        <v>75</v>
      </c>
      <c r="L33" s="1">
        <v>932</v>
      </c>
      <c r="M33" s="1" t="s">
        <v>75</v>
      </c>
      <c r="N33" s="39">
        <v>10279</v>
      </c>
      <c r="O33" s="55">
        <f t="shared" ref="O33:O41" si="2">SUBTOTAL(9,G33:N33)</f>
        <v>0</v>
      </c>
      <c r="P33" s="57">
        <v>38530</v>
      </c>
      <c r="Q33" s="35">
        <f>SUBTOTAL(9,G33:J33)</f>
        <v>0</v>
      </c>
      <c r="R33" s="39">
        <v>218090</v>
      </c>
      <c r="S33" s="39">
        <v>176460</v>
      </c>
      <c r="T33" s="31">
        <v>8934.85</v>
      </c>
      <c r="U33" s="31">
        <v>675.02</v>
      </c>
      <c r="V33" s="31">
        <v>0</v>
      </c>
      <c r="W33" s="31">
        <v>1080</v>
      </c>
      <c r="X33" s="31">
        <v>0</v>
      </c>
      <c r="Y33" s="31">
        <v>961.34</v>
      </c>
      <c r="Z33" s="31">
        <v>26763</v>
      </c>
      <c r="AA33" s="31" t="s">
        <v>654</v>
      </c>
      <c r="AB33" s="55">
        <f t="shared" si="1"/>
        <v>0</v>
      </c>
      <c r="AC33" s="31">
        <v>44530</v>
      </c>
      <c r="AD33" s="31">
        <f>SUBTOTAL(9,T33)</f>
        <v>0</v>
      </c>
      <c r="AE33" s="31">
        <v>211750</v>
      </c>
      <c r="AF33" s="31">
        <v>170180</v>
      </c>
    </row>
    <row r="34" spans="1:32" x14ac:dyDescent="0.25">
      <c r="A34" s="15" t="s">
        <v>138</v>
      </c>
      <c r="B34" s="6" t="s">
        <v>7</v>
      </c>
      <c r="C34" s="1" t="s">
        <v>526</v>
      </c>
      <c r="D34" s="6" t="s">
        <v>526</v>
      </c>
      <c r="E34" s="22" t="s">
        <v>6</v>
      </c>
      <c r="F34" s="1" t="s">
        <v>221</v>
      </c>
      <c r="G34" s="41">
        <v>0</v>
      </c>
      <c r="H34" s="41">
        <v>14403</v>
      </c>
      <c r="I34" s="1" t="s">
        <v>224</v>
      </c>
      <c r="J34" s="41">
        <v>700</v>
      </c>
      <c r="K34" s="41">
        <v>0</v>
      </c>
      <c r="L34" s="42">
        <v>14244.82</v>
      </c>
      <c r="M34" s="42">
        <v>2291.35</v>
      </c>
      <c r="N34" s="1" t="s">
        <v>224</v>
      </c>
      <c r="O34" s="55">
        <f t="shared" si="2"/>
        <v>31639.17</v>
      </c>
      <c r="P34" s="56">
        <v>22651.52</v>
      </c>
      <c r="Q34" s="31">
        <f>SUBTOTAL(9,G34:J34)</f>
        <v>15103</v>
      </c>
      <c r="R34" s="42">
        <v>22651.52</v>
      </c>
      <c r="S34" s="41">
        <v>0</v>
      </c>
      <c r="T34" s="31">
        <v>0</v>
      </c>
      <c r="U34" s="31">
        <v>0</v>
      </c>
      <c r="V34" s="31">
        <v>2567</v>
      </c>
      <c r="W34" s="31">
        <v>18960</v>
      </c>
      <c r="X34" s="31">
        <v>0</v>
      </c>
      <c r="Y34" s="31">
        <v>6172</v>
      </c>
      <c r="Z34" s="31">
        <v>7439</v>
      </c>
      <c r="AA34" s="31">
        <v>871</v>
      </c>
      <c r="AB34" s="55">
        <f t="shared" si="1"/>
        <v>36009</v>
      </c>
      <c r="AC34" s="31">
        <v>36009</v>
      </c>
      <c r="AD34" s="31">
        <f>SUBTOTAL(9,T34:W34)</f>
        <v>21527</v>
      </c>
      <c r="AE34" s="31">
        <v>21291</v>
      </c>
      <c r="AF34" s="31">
        <v>0</v>
      </c>
    </row>
    <row r="35" spans="1:32" x14ac:dyDescent="0.25">
      <c r="A35" s="15" t="s">
        <v>139</v>
      </c>
      <c r="B35" s="6" t="s">
        <v>7</v>
      </c>
      <c r="C35" s="1" t="s">
        <v>526</v>
      </c>
      <c r="D35" s="6" t="s">
        <v>526</v>
      </c>
      <c r="E35" s="22" t="s">
        <v>6</v>
      </c>
      <c r="F35" s="1" t="s">
        <v>221</v>
      </c>
      <c r="G35" s="1" t="s">
        <v>75</v>
      </c>
      <c r="H35" s="1" t="s">
        <v>75</v>
      </c>
      <c r="I35" s="1" t="s">
        <v>75</v>
      </c>
      <c r="J35" s="1" t="s">
        <v>75</v>
      </c>
      <c r="K35" s="1" t="s">
        <v>75</v>
      </c>
      <c r="L35" s="40">
        <v>1592.96</v>
      </c>
      <c r="M35" s="1" t="s">
        <v>75</v>
      </c>
      <c r="N35" s="41">
        <v>2000</v>
      </c>
      <c r="O35" s="55">
        <f t="shared" si="2"/>
        <v>3592.96</v>
      </c>
      <c r="P35" s="56">
        <v>3592.96</v>
      </c>
      <c r="Q35" s="31">
        <f>SUBTOTAL(9,G35:J35)</f>
        <v>0</v>
      </c>
      <c r="R35" s="42">
        <v>3177.28</v>
      </c>
      <c r="S35" s="1">
        <v>0</v>
      </c>
      <c r="T35" s="31">
        <v>0</v>
      </c>
      <c r="U35" s="31">
        <v>1278</v>
      </c>
      <c r="V35" s="31">
        <v>0</v>
      </c>
      <c r="W35" s="31" t="s">
        <v>75</v>
      </c>
      <c r="X35" s="31">
        <v>0</v>
      </c>
      <c r="Y35" s="31">
        <v>1523</v>
      </c>
      <c r="Z35" s="31">
        <v>0</v>
      </c>
      <c r="AA35" s="31" t="s">
        <v>75</v>
      </c>
      <c r="AB35" s="55">
        <f t="shared" si="1"/>
        <v>2801</v>
      </c>
      <c r="AC35" s="31" t="s">
        <v>75</v>
      </c>
      <c r="AD35" s="31">
        <f>SUBTOTAL(9,T35:W35)</f>
        <v>1278</v>
      </c>
      <c r="AE35" s="31" t="s">
        <v>75</v>
      </c>
      <c r="AF35" s="31" t="s">
        <v>75</v>
      </c>
    </row>
    <row r="36" spans="1:32" x14ac:dyDescent="0.25">
      <c r="A36" s="15" t="s">
        <v>180</v>
      </c>
      <c r="B36" s="6" t="s">
        <v>7</v>
      </c>
      <c r="C36" s="1" t="s">
        <v>526</v>
      </c>
      <c r="D36" s="6" t="s">
        <v>526</v>
      </c>
      <c r="E36" s="22" t="s">
        <v>214</v>
      </c>
      <c r="F36" s="1" t="s">
        <v>6</v>
      </c>
      <c r="G36" s="41">
        <v>15666</v>
      </c>
      <c r="H36" s="41">
        <v>4191</v>
      </c>
      <c r="I36" s="1">
        <v>0</v>
      </c>
      <c r="J36" s="41">
        <v>1795</v>
      </c>
      <c r="K36" s="1">
        <v>0</v>
      </c>
      <c r="L36" s="41">
        <v>2117</v>
      </c>
      <c r="M36" s="41">
        <v>2292</v>
      </c>
      <c r="N36" s="1">
        <v>0</v>
      </c>
      <c r="O36" s="55">
        <f t="shared" si="2"/>
        <v>26061</v>
      </c>
      <c r="P36" s="58">
        <v>26061</v>
      </c>
      <c r="Q36" s="31">
        <f>SUBTOTAL(9,G36:J36)</f>
        <v>21652</v>
      </c>
      <c r="R36" s="41">
        <v>16800</v>
      </c>
      <c r="S36" s="41">
        <v>1946</v>
      </c>
      <c r="T36" s="31">
        <v>12300</v>
      </c>
      <c r="U36" s="31">
        <v>2837</v>
      </c>
      <c r="V36" s="31">
        <v>0</v>
      </c>
      <c r="W36" s="31">
        <v>935</v>
      </c>
      <c r="X36" s="31">
        <v>0</v>
      </c>
      <c r="Y36" s="31">
        <v>1635</v>
      </c>
      <c r="Z36" s="31">
        <v>0</v>
      </c>
      <c r="AA36" s="31">
        <v>0</v>
      </c>
      <c r="AB36" s="55">
        <f t="shared" si="1"/>
        <v>17707</v>
      </c>
      <c r="AC36" s="31">
        <v>19020</v>
      </c>
      <c r="AD36" s="31">
        <f>SUBTOTAL(9,T36:W36)</f>
        <v>16072</v>
      </c>
      <c r="AE36" s="31" t="s">
        <v>75</v>
      </c>
      <c r="AF36" s="31" t="s">
        <v>75</v>
      </c>
    </row>
    <row r="37" spans="1:32" hidden="1" x14ac:dyDescent="0.25">
      <c r="A37" s="10" t="s">
        <v>29</v>
      </c>
      <c r="B37" s="6" t="s">
        <v>9</v>
      </c>
      <c r="C37" s="1" t="s">
        <v>266</v>
      </c>
      <c r="D37" s="6" t="s">
        <v>526</v>
      </c>
      <c r="E37" s="22" t="s">
        <v>6</v>
      </c>
      <c r="F37" s="1" t="s">
        <v>221</v>
      </c>
      <c r="G37" s="1">
        <v>0</v>
      </c>
      <c r="H37" s="1">
        <v>2574</v>
      </c>
      <c r="I37" s="1">
        <v>0</v>
      </c>
      <c r="J37" s="1">
        <v>8330</v>
      </c>
      <c r="K37" s="1">
        <v>0</v>
      </c>
      <c r="L37" s="1">
        <v>8489</v>
      </c>
      <c r="M37" s="1">
        <v>35728</v>
      </c>
      <c r="N37" s="1">
        <v>0</v>
      </c>
      <c r="O37" s="55">
        <f t="shared" si="2"/>
        <v>0</v>
      </c>
      <c r="P37" s="13">
        <v>19393</v>
      </c>
      <c r="Q37" s="31"/>
      <c r="R37" s="1">
        <v>24429</v>
      </c>
      <c r="S37" s="1">
        <v>17400</v>
      </c>
      <c r="T37" s="31">
        <v>0</v>
      </c>
      <c r="U37" s="31" t="s">
        <v>655</v>
      </c>
      <c r="V37" s="31" t="s">
        <v>655</v>
      </c>
      <c r="W37" s="31" t="s">
        <v>655</v>
      </c>
      <c r="X37" s="31" t="s">
        <v>655</v>
      </c>
      <c r="Y37" s="31" t="s">
        <v>655</v>
      </c>
      <c r="Z37" s="31" t="s">
        <v>655</v>
      </c>
      <c r="AA37" s="31" t="s">
        <v>655</v>
      </c>
      <c r="AB37" s="31"/>
      <c r="AC37" s="31" t="s">
        <v>655</v>
      </c>
      <c r="AD37" s="31"/>
      <c r="AE37" s="31" t="s">
        <v>655</v>
      </c>
      <c r="AF37" s="31" t="s">
        <v>655</v>
      </c>
    </row>
    <row r="38" spans="1:32" x14ac:dyDescent="0.25">
      <c r="A38" s="10" t="s">
        <v>31</v>
      </c>
      <c r="B38" s="6" t="s">
        <v>7</v>
      </c>
      <c r="C38" s="1" t="s">
        <v>527</v>
      </c>
      <c r="D38" s="6" t="s">
        <v>527</v>
      </c>
      <c r="E38" s="22" t="s">
        <v>6</v>
      </c>
      <c r="F38" s="1" t="s">
        <v>221</v>
      </c>
      <c r="G38" s="41">
        <v>0</v>
      </c>
      <c r="H38" s="41">
        <v>5498</v>
      </c>
      <c r="I38" s="41">
        <v>0</v>
      </c>
      <c r="J38" s="41">
        <v>2598</v>
      </c>
      <c r="K38" s="41">
        <v>43250</v>
      </c>
      <c r="L38" s="41">
        <v>4393</v>
      </c>
      <c r="M38" s="41">
        <v>4549</v>
      </c>
      <c r="N38" s="41">
        <v>17500</v>
      </c>
      <c r="O38" s="55">
        <f t="shared" si="2"/>
        <v>77788</v>
      </c>
      <c r="P38" s="58">
        <v>77788</v>
      </c>
      <c r="Q38" s="31">
        <f>SUBTOTAL(9,G38:J38)</f>
        <v>8096</v>
      </c>
      <c r="R38" s="41">
        <v>82270</v>
      </c>
      <c r="S38" s="41">
        <v>56832</v>
      </c>
      <c r="T38" s="31">
        <v>0</v>
      </c>
      <c r="U38" s="31">
        <v>6557</v>
      </c>
      <c r="V38" s="31" t="s">
        <v>266</v>
      </c>
      <c r="W38" s="31">
        <v>5742</v>
      </c>
      <c r="X38" s="31">
        <v>48000</v>
      </c>
      <c r="Y38" s="31">
        <v>4000</v>
      </c>
      <c r="Z38" s="31">
        <v>2030</v>
      </c>
      <c r="AA38" s="31">
        <v>8543</v>
      </c>
      <c r="AB38" s="55">
        <f>SUBTOTAL(9,T38:AA38)</f>
        <v>74872</v>
      </c>
      <c r="AC38" s="31">
        <v>74892</v>
      </c>
      <c r="AD38" s="31">
        <f>SUBTOTAL(9,T38:W38)</f>
        <v>12299</v>
      </c>
      <c r="AE38" s="31">
        <v>107418</v>
      </c>
      <c r="AF38" s="31">
        <v>107418</v>
      </c>
    </row>
    <row r="39" spans="1:32" x14ac:dyDescent="0.25">
      <c r="A39" s="10" t="s">
        <v>32</v>
      </c>
      <c r="B39" s="6" t="s">
        <v>7</v>
      </c>
      <c r="C39" s="1" t="s">
        <v>526</v>
      </c>
      <c r="D39" s="6" t="s">
        <v>526</v>
      </c>
      <c r="E39" s="22" t="s">
        <v>6</v>
      </c>
      <c r="F39" s="1" t="s">
        <v>221</v>
      </c>
      <c r="G39" s="1" t="s">
        <v>75</v>
      </c>
      <c r="H39" s="1" t="s">
        <v>75</v>
      </c>
      <c r="I39" s="1" t="s">
        <v>75</v>
      </c>
      <c r="J39" s="41">
        <v>300</v>
      </c>
      <c r="K39" s="41">
        <v>9000</v>
      </c>
      <c r="L39" s="42">
        <v>2716.02</v>
      </c>
      <c r="M39" s="41">
        <v>1475</v>
      </c>
      <c r="N39" s="41">
        <v>1000</v>
      </c>
      <c r="O39" s="55">
        <f t="shared" si="2"/>
        <v>14491.02</v>
      </c>
      <c r="P39" s="56">
        <v>13491.02</v>
      </c>
      <c r="Q39" s="31">
        <f>SUBTOTAL(9,G39:J39)</f>
        <v>300</v>
      </c>
      <c r="R39" s="1" t="s">
        <v>75</v>
      </c>
      <c r="S39" s="1" t="s">
        <v>75</v>
      </c>
      <c r="T39" s="31">
        <v>0</v>
      </c>
      <c r="U39" s="31">
        <v>234.55</v>
      </c>
      <c r="V39" s="31" t="s">
        <v>266</v>
      </c>
      <c r="W39" s="31">
        <v>300</v>
      </c>
      <c r="X39" s="31">
        <v>13500</v>
      </c>
      <c r="Y39" s="31">
        <v>1000</v>
      </c>
      <c r="Z39" s="31">
        <v>200</v>
      </c>
      <c r="AA39" s="31">
        <v>2000</v>
      </c>
      <c r="AB39" s="55">
        <f>SUBTOTAL(9,T39:AA39)</f>
        <v>17234.55</v>
      </c>
      <c r="AC39" s="31">
        <v>17234.55</v>
      </c>
      <c r="AD39" s="31">
        <f>SUBTOTAL(9,T39:W39)</f>
        <v>534.54999999999995</v>
      </c>
      <c r="AE39" s="31">
        <v>8000</v>
      </c>
      <c r="AF39" s="31">
        <v>0</v>
      </c>
    </row>
    <row r="40" spans="1:32" x14ac:dyDescent="0.25">
      <c r="A40" s="12" t="s">
        <v>33</v>
      </c>
      <c r="B40" s="6" t="s">
        <v>7</v>
      </c>
      <c r="C40" s="1" t="s">
        <v>526</v>
      </c>
      <c r="D40" s="6" t="s">
        <v>526</v>
      </c>
      <c r="E40" s="22" t="s">
        <v>6</v>
      </c>
      <c r="F40" s="1" t="s">
        <v>221</v>
      </c>
      <c r="G40" s="1" t="s">
        <v>75</v>
      </c>
      <c r="H40" s="1" t="s">
        <v>75</v>
      </c>
      <c r="I40" s="1">
        <v>105</v>
      </c>
      <c r="J40" s="1">
        <v>2536</v>
      </c>
      <c r="K40" s="1" t="s">
        <v>75</v>
      </c>
      <c r="L40" s="1">
        <v>389</v>
      </c>
      <c r="M40" s="1">
        <v>967</v>
      </c>
      <c r="N40" s="1" t="s">
        <v>75</v>
      </c>
      <c r="O40" s="55">
        <f t="shared" si="2"/>
        <v>3997</v>
      </c>
      <c r="P40" s="13">
        <v>3997</v>
      </c>
      <c r="Q40" s="31">
        <f>SUBTOTAL(9,G40:J40)</f>
        <v>2641</v>
      </c>
      <c r="R40" s="1">
        <v>7882</v>
      </c>
      <c r="S40" s="1">
        <v>0</v>
      </c>
      <c r="T40" s="31">
        <v>0</v>
      </c>
      <c r="U40" s="31">
        <v>357</v>
      </c>
      <c r="V40" s="31" t="s">
        <v>266</v>
      </c>
      <c r="W40" s="31">
        <v>4240</v>
      </c>
      <c r="X40" s="31">
        <v>0</v>
      </c>
      <c r="Y40" s="31">
        <v>739</v>
      </c>
      <c r="Z40" s="31">
        <v>647</v>
      </c>
      <c r="AA40" s="31">
        <v>920</v>
      </c>
      <c r="AB40" s="55">
        <f>SUBTOTAL(9,T40:AA40)</f>
        <v>6903</v>
      </c>
      <c r="AC40" s="31">
        <v>6903</v>
      </c>
      <c r="AD40" s="31">
        <f>SUBTOTAL(9,T40:W40)</f>
        <v>4597</v>
      </c>
      <c r="AE40" s="31">
        <v>6288</v>
      </c>
      <c r="AF40" s="31">
        <v>0</v>
      </c>
    </row>
    <row r="41" spans="1:32" x14ac:dyDescent="0.25">
      <c r="A41" s="11" t="s">
        <v>34</v>
      </c>
      <c r="B41" s="6" t="s">
        <v>7</v>
      </c>
      <c r="C41" s="1" t="s">
        <v>526</v>
      </c>
      <c r="D41" s="6" t="s">
        <v>526</v>
      </c>
      <c r="E41" s="22" t="s">
        <v>6</v>
      </c>
      <c r="F41" s="1" t="s">
        <v>6</v>
      </c>
      <c r="G41" s="1">
        <v>600</v>
      </c>
      <c r="H41" s="1">
        <v>100</v>
      </c>
      <c r="I41" s="1">
        <v>0</v>
      </c>
      <c r="J41" s="1">
        <v>0</v>
      </c>
      <c r="K41" s="1">
        <v>1500</v>
      </c>
      <c r="L41" s="1" t="s">
        <v>75</v>
      </c>
      <c r="M41" s="1">
        <v>0</v>
      </c>
      <c r="N41" s="1">
        <v>1000</v>
      </c>
      <c r="O41" s="55">
        <f t="shared" si="2"/>
        <v>3200</v>
      </c>
      <c r="P41" s="13">
        <v>3200</v>
      </c>
      <c r="Q41" s="31">
        <f>SUBTOTAL(9,G41:J41)</f>
        <v>700</v>
      </c>
      <c r="R41" s="1">
        <v>3000</v>
      </c>
      <c r="S41" s="1">
        <v>1500</v>
      </c>
      <c r="T41" s="31">
        <v>847</v>
      </c>
      <c r="U41" s="31">
        <v>40</v>
      </c>
      <c r="V41" s="31">
        <v>0</v>
      </c>
      <c r="W41" s="31">
        <v>0</v>
      </c>
      <c r="X41" s="31">
        <v>0</v>
      </c>
      <c r="Y41" s="31">
        <v>630</v>
      </c>
      <c r="Z41" s="31">
        <v>1200</v>
      </c>
      <c r="AA41" s="31">
        <v>1895</v>
      </c>
      <c r="AB41" s="55">
        <f>SUBTOTAL(9,T41:AA41)</f>
        <v>4612</v>
      </c>
      <c r="AC41" s="31">
        <v>4612</v>
      </c>
      <c r="AD41" s="31">
        <f>SUBTOTAL(9,T41:W41)</f>
        <v>887</v>
      </c>
      <c r="AE41" s="31">
        <v>3675</v>
      </c>
      <c r="AF41" s="31">
        <v>1200</v>
      </c>
    </row>
    <row r="42" spans="1:32" hidden="1" x14ac:dyDescent="0.25">
      <c r="A42" s="11" t="s">
        <v>82</v>
      </c>
      <c r="B42" s="6" t="s">
        <v>9</v>
      </c>
      <c r="C42" s="1" t="s">
        <v>528</v>
      </c>
      <c r="D42" s="6" t="s">
        <v>528</v>
      </c>
      <c r="E42" s="22" t="s">
        <v>214</v>
      </c>
      <c r="F42" s="1" t="s">
        <v>6</v>
      </c>
      <c r="G42" s="1">
        <v>279662</v>
      </c>
      <c r="H42" s="1">
        <v>101049</v>
      </c>
      <c r="I42" s="1">
        <v>5373</v>
      </c>
      <c r="J42" s="1">
        <v>107181</v>
      </c>
      <c r="K42" s="1">
        <v>1078300</v>
      </c>
      <c r="L42" s="1">
        <v>234</v>
      </c>
      <c r="M42" s="1">
        <v>1500</v>
      </c>
      <c r="N42" s="1">
        <v>247871</v>
      </c>
      <c r="O42" s="32" t="s">
        <v>610</v>
      </c>
      <c r="P42" s="39">
        <v>2722694</v>
      </c>
      <c r="Q42" s="31"/>
      <c r="R42" s="39">
        <v>2602683</v>
      </c>
      <c r="S42" s="39">
        <v>1872610</v>
      </c>
      <c r="T42" s="31">
        <v>306747</v>
      </c>
      <c r="U42" s="31">
        <v>91727</v>
      </c>
      <c r="V42" s="31">
        <v>0</v>
      </c>
      <c r="W42" s="31">
        <v>155203</v>
      </c>
      <c r="X42" s="31">
        <v>670800</v>
      </c>
      <c r="Y42" s="31">
        <v>194</v>
      </c>
      <c r="Z42" s="31">
        <v>7071</v>
      </c>
      <c r="AA42" s="31" t="s">
        <v>83</v>
      </c>
      <c r="AB42" s="55" t="s">
        <v>610</v>
      </c>
      <c r="AC42" s="31" t="s">
        <v>83</v>
      </c>
      <c r="AD42" s="31"/>
      <c r="AE42" s="31" t="s">
        <v>83</v>
      </c>
      <c r="AF42" s="31" t="s">
        <v>83</v>
      </c>
    </row>
    <row r="43" spans="1:32" hidden="1" x14ac:dyDescent="0.25">
      <c r="A43" s="11" t="s">
        <v>84</v>
      </c>
      <c r="B43" s="6" t="s">
        <v>9</v>
      </c>
      <c r="C43" s="1" t="s">
        <v>528</v>
      </c>
      <c r="D43" s="6" t="s">
        <v>528</v>
      </c>
      <c r="E43" s="22" t="s">
        <v>214</v>
      </c>
      <c r="F43" s="1" t="s">
        <v>221</v>
      </c>
      <c r="G43" s="1" t="s">
        <v>75</v>
      </c>
      <c r="H43" s="1" t="s">
        <v>75</v>
      </c>
      <c r="I43" s="1" t="s">
        <v>75</v>
      </c>
      <c r="J43" s="1">
        <v>6592</v>
      </c>
      <c r="K43" s="1" t="s">
        <v>75</v>
      </c>
      <c r="L43" s="1">
        <v>423</v>
      </c>
      <c r="M43" s="1" t="s">
        <v>75</v>
      </c>
      <c r="N43" s="1" t="s">
        <v>75</v>
      </c>
      <c r="O43" s="32" t="s">
        <v>610</v>
      </c>
      <c r="P43" s="1" t="s">
        <v>75</v>
      </c>
      <c r="Q43" s="31"/>
      <c r="R43" s="1" t="s">
        <v>75</v>
      </c>
      <c r="S43" s="1" t="s">
        <v>75</v>
      </c>
      <c r="T43" s="31" t="s">
        <v>75</v>
      </c>
      <c r="U43" s="31">
        <v>0</v>
      </c>
      <c r="V43" s="31">
        <v>0</v>
      </c>
      <c r="W43" s="31">
        <v>7267</v>
      </c>
      <c r="X43" s="31" t="s">
        <v>83</v>
      </c>
      <c r="Y43" s="31">
        <v>234</v>
      </c>
      <c r="Z43" s="31" t="s">
        <v>83</v>
      </c>
      <c r="AA43" s="31" t="s">
        <v>83</v>
      </c>
      <c r="AB43" s="55" t="s">
        <v>610</v>
      </c>
      <c r="AC43" s="31" t="s">
        <v>83</v>
      </c>
      <c r="AD43" s="31"/>
      <c r="AE43" s="31" t="s">
        <v>83</v>
      </c>
      <c r="AF43" s="31" t="s">
        <v>83</v>
      </c>
    </row>
    <row r="44" spans="1:32" hidden="1" x14ac:dyDescent="0.25">
      <c r="A44" s="11" t="s">
        <v>85</v>
      </c>
      <c r="B44" s="6" t="s">
        <v>9</v>
      </c>
      <c r="C44" s="1" t="s">
        <v>527</v>
      </c>
      <c r="D44" s="6" t="s">
        <v>527</v>
      </c>
      <c r="E44" s="22" t="s">
        <v>214</v>
      </c>
      <c r="F44" s="1" t="s">
        <v>221</v>
      </c>
      <c r="G44" s="1" t="s">
        <v>75</v>
      </c>
      <c r="H44" s="1">
        <v>9121</v>
      </c>
      <c r="I44" s="1" t="s">
        <v>75</v>
      </c>
      <c r="J44" s="1">
        <v>2259</v>
      </c>
      <c r="K44" s="1" t="s">
        <v>75</v>
      </c>
      <c r="L44" s="1">
        <v>509</v>
      </c>
      <c r="M44" s="1" t="s">
        <v>75</v>
      </c>
      <c r="N44" s="1" t="s">
        <v>75</v>
      </c>
      <c r="O44" s="32" t="s">
        <v>610</v>
      </c>
      <c r="P44" s="1" t="s">
        <v>75</v>
      </c>
      <c r="Q44" s="31"/>
      <c r="R44" s="1" t="s">
        <v>75</v>
      </c>
      <c r="S44" s="1" t="s">
        <v>75</v>
      </c>
      <c r="T44" s="31">
        <v>0</v>
      </c>
      <c r="U44" s="31">
        <v>8488.48</v>
      </c>
      <c r="V44" s="31">
        <v>0</v>
      </c>
      <c r="W44" s="31">
        <v>2544.31</v>
      </c>
      <c r="X44" s="31" t="s">
        <v>83</v>
      </c>
      <c r="Y44" s="31">
        <v>162</v>
      </c>
      <c r="Z44" s="31" t="s">
        <v>83</v>
      </c>
      <c r="AA44" s="31" t="s">
        <v>83</v>
      </c>
      <c r="AB44" s="55" t="s">
        <v>610</v>
      </c>
      <c r="AC44" s="31" t="s">
        <v>83</v>
      </c>
      <c r="AD44" s="31"/>
      <c r="AE44" s="31" t="s">
        <v>83</v>
      </c>
      <c r="AF44" s="31" t="s">
        <v>83</v>
      </c>
    </row>
    <row r="45" spans="1:32" x14ac:dyDescent="0.25">
      <c r="A45" s="15" t="s">
        <v>181</v>
      </c>
      <c r="B45" s="6" t="s">
        <v>7</v>
      </c>
      <c r="C45" s="1" t="s">
        <v>527</v>
      </c>
      <c r="D45" s="6" t="s">
        <v>527</v>
      </c>
      <c r="E45" s="22" t="s">
        <v>6</v>
      </c>
      <c r="F45" s="1" t="s">
        <v>6</v>
      </c>
      <c r="G45" s="41">
        <v>46199</v>
      </c>
      <c r="H45" s="41">
        <v>60907</v>
      </c>
      <c r="I45" s="41">
        <v>5374</v>
      </c>
      <c r="J45" s="41">
        <v>99961</v>
      </c>
      <c r="K45" s="41">
        <v>36300</v>
      </c>
      <c r="L45" s="41">
        <v>38470</v>
      </c>
      <c r="M45" s="41">
        <v>66074</v>
      </c>
      <c r="N45" s="41">
        <v>300000</v>
      </c>
      <c r="O45" s="55">
        <f>SUBTOTAL(9,G45:N45)</f>
        <v>653285</v>
      </c>
      <c r="P45" s="58">
        <v>653285</v>
      </c>
      <c r="Q45" s="31">
        <f>SUBTOTAL(9,G45:J45)</f>
        <v>212441</v>
      </c>
      <c r="R45" s="41">
        <v>647479</v>
      </c>
      <c r="S45" s="41">
        <v>331281</v>
      </c>
      <c r="T45" s="31">
        <v>50987</v>
      </c>
      <c r="U45" s="31">
        <v>49113</v>
      </c>
      <c r="V45" s="31">
        <v>3212</v>
      </c>
      <c r="W45" s="31">
        <v>105708</v>
      </c>
      <c r="X45" s="31">
        <v>43180</v>
      </c>
      <c r="Y45" s="31">
        <v>35391</v>
      </c>
      <c r="Z45" s="31">
        <v>54952</v>
      </c>
      <c r="AA45" s="31">
        <v>303697</v>
      </c>
      <c r="AB45" s="55">
        <f>SUBTOTAL(9,T45:AA45)</f>
        <v>646240</v>
      </c>
      <c r="AC45" s="31">
        <v>646240</v>
      </c>
      <c r="AD45" s="31">
        <f>SUBTOTAL(9,T45:W45)</f>
        <v>209020</v>
      </c>
      <c r="AE45" s="31">
        <v>668329</v>
      </c>
      <c r="AF45" s="31">
        <v>310988</v>
      </c>
    </row>
    <row r="46" spans="1:32" hidden="1" x14ac:dyDescent="0.25">
      <c r="A46" s="11" t="s">
        <v>86</v>
      </c>
      <c r="B46" s="6" t="s">
        <v>7</v>
      </c>
      <c r="C46" s="1"/>
      <c r="D46" s="6"/>
      <c r="E46" s="22"/>
      <c r="F46" s="22" t="s">
        <v>6</v>
      </c>
      <c r="G46" s="22"/>
      <c r="H46" s="22"/>
      <c r="I46" s="22"/>
      <c r="J46" s="22"/>
      <c r="K46" s="22"/>
      <c r="L46" s="22"/>
      <c r="M46" s="22"/>
      <c r="N46" s="22"/>
      <c r="O46" s="32"/>
      <c r="P46" s="22"/>
      <c r="Q46" s="31"/>
      <c r="R46" s="22"/>
      <c r="S46" s="22"/>
      <c r="T46" s="31"/>
      <c r="U46" s="31"/>
      <c r="V46" s="31"/>
      <c r="W46" s="31"/>
      <c r="X46" s="31"/>
      <c r="Y46" s="31"/>
      <c r="Z46" s="31"/>
      <c r="AA46" s="31"/>
      <c r="AB46" s="31"/>
      <c r="AC46" s="31"/>
      <c r="AD46" s="31"/>
      <c r="AE46" s="31"/>
      <c r="AF46" s="31"/>
    </row>
    <row r="47" spans="1:32" hidden="1" x14ac:dyDescent="0.25">
      <c r="A47" s="11" t="s">
        <v>87</v>
      </c>
      <c r="B47" s="6" t="s">
        <v>7</v>
      </c>
      <c r="C47" s="1"/>
      <c r="D47" s="6" t="s">
        <v>527</v>
      </c>
      <c r="E47" s="22" t="s">
        <v>214</v>
      </c>
      <c r="F47" s="1" t="s">
        <v>6</v>
      </c>
      <c r="G47" s="1">
        <v>14825</v>
      </c>
      <c r="H47" s="1">
        <v>15873</v>
      </c>
      <c r="I47" s="1">
        <v>7238</v>
      </c>
      <c r="J47" s="1">
        <v>38288</v>
      </c>
      <c r="K47" s="1">
        <v>95077</v>
      </c>
      <c r="L47" s="1">
        <v>535</v>
      </c>
      <c r="M47" s="1">
        <v>1751</v>
      </c>
      <c r="N47" s="1">
        <v>7540</v>
      </c>
      <c r="O47" s="55">
        <f>SUBTOTAL(9,G47:N47)</f>
        <v>0</v>
      </c>
      <c r="P47" s="13">
        <v>181127</v>
      </c>
      <c r="Q47" s="31"/>
      <c r="R47" s="1">
        <v>183357</v>
      </c>
      <c r="S47" s="1">
        <v>155352</v>
      </c>
      <c r="T47" s="31"/>
      <c r="U47" s="31"/>
      <c r="V47" s="31"/>
      <c r="W47" s="31"/>
      <c r="X47" s="31"/>
      <c r="Y47" s="31"/>
      <c r="Z47" s="31"/>
      <c r="AA47" s="31"/>
      <c r="AB47" s="31"/>
      <c r="AC47" s="31"/>
      <c r="AD47" s="31"/>
      <c r="AE47" s="31"/>
      <c r="AF47" s="31"/>
    </row>
    <row r="48" spans="1:32" hidden="1" x14ac:dyDescent="0.25">
      <c r="A48" s="10" t="s">
        <v>35</v>
      </c>
      <c r="B48" s="6" t="s">
        <v>27</v>
      </c>
      <c r="C48" s="1" t="s">
        <v>527</v>
      </c>
      <c r="D48" s="6" t="s">
        <v>527</v>
      </c>
      <c r="E48" s="22" t="s">
        <v>6</v>
      </c>
      <c r="F48" s="1" t="s">
        <v>221</v>
      </c>
      <c r="G48" s="1">
        <v>0</v>
      </c>
      <c r="H48" s="1">
        <v>438.48</v>
      </c>
      <c r="I48" s="1">
        <v>0</v>
      </c>
      <c r="J48" s="1">
        <v>749</v>
      </c>
      <c r="K48" s="39">
        <v>419681</v>
      </c>
      <c r="L48" s="39">
        <v>13929</v>
      </c>
      <c r="M48" s="39">
        <v>14000</v>
      </c>
      <c r="N48" s="1">
        <v>0</v>
      </c>
      <c r="O48" s="55">
        <f>SUBTOTAL(9,G48:N48)</f>
        <v>0</v>
      </c>
      <c r="P48" s="59">
        <v>448797.48</v>
      </c>
      <c r="Q48" s="31"/>
      <c r="R48" s="39">
        <v>24630</v>
      </c>
      <c r="S48" s="1" t="s">
        <v>501</v>
      </c>
      <c r="T48" s="31">
        <v>0</v>
      </c>
      <c r="U48" s="31">
        <v>546.19000000000005</v>
      </c>
      <c r="V48" s="31">
        <v>0</v>
      </c>
      <c r="W48" s="31">
        <v>322</v>
      </c>
      <c r="X48" s="31">
        <v>0</v>
      </c>
      <c r="Y48" s="31">
        <v>3098.55</v>
      </c>
      <c r="Z48" s="31">
        <v>7554.28</v>
      </c>
      <c r="AA48" s="31">
        <v>20000</v>
      </c>
      <c r="AB48" s="55">
        <f>SUBTOTAL(9,T48:AA48)</f>
        <v>0</v>
      </c>
      <c r="AC48" s="31">
        <v>31521.02</v>
      </c>
      <c r="AD48" s="31"/>
      <c r="AE48" s="31">
        <v>515000</v>
      </c>
      <c r="AF48" s="31">
        <v>140000</v>
      </c>
    </row>
    <row r="49" spans="1:32" hidden="1" x14ac:dyDescent="0.25">
      <c r="A49" s="10" t="s">
        <v>36</v>
      </c>
      <c r="B49" s="6" t="s">
        <v>27</v>
      </c>
      <c r="C49" s="1" t="s">
        <v>614</v>
      </c>
      <c r="D49" s="6" t="s">
        <v>529</v>
      </c>
      <c r="E49" s="22" t="s">
        <v>6</v>
      </c>
      <c r="F49" s="1" t="s">
        <v>221</v>
      </c>
      <c r="G49" s="1">
        <v>0</v>
      </c>
      <c r="H49" s="1">
        <v>47679.040000000001</v>
      </c>
      <c r="I49" s="1">
        <v>0</v>
      </c>
      <c r="J49" s="1">
        <v>60</v>
      </c>
      <c r="K49" s="1">
        <v>19000</v>
      </c>
      <c r="L49" s="1">
        <v>14720</v>
      </c>
      <c r="M49" s="1">
        <v>0</v>
      </c>
      <c r="N49" s="1">
        <v>7760</v>
      </c>
      <c r="O49" s="55">
        <f>SUBTOTAL(9,G49:N49)</f>
        <v>0</v>
      </c>
      <c r="P49" s="13">
        <v>89219.04</v>
      </c>
      <c r="Q49" s="31"/>
      <c r="R49" s="1" t="s">
        <v>75</v>
      </c>
      <c r="S49" s="1" t="s">
        <v>75</v>
      </c>
      <c r="T49" s="31">
        <v>0</v>
      </c>
      <c r="U49" s="31">
        <v>49435</v>
      </c>
      <c r="V49" s="31">
        <v>0</v>
      </c>
      <c r="W49" s="31">
        <v>3000</v>
      </c>
      <c r="X49" s="31">
        <v>0</v>
      </c>
      <c r="Y49" s="31">
        <v>4500</v>
      </c>
      <c r="Z49" s="31">
        <v>7000</v>
      </c>
      <c r="AA49" s="31">
        <v>40000</v>
      </c>
      <c r="AB49" s="55">
        <f>SUBTOTAL(9,T49:AA49)</f>
        <v>0</v>
      </c>
      <c r="AC49" s="31" t="s">
        <v>199</v>
      </c>
      <c r="AD49" s="31"/>
      <c r="AE49" s="31" t="s">
        <v>199</v>
      </c>
      <c r="AF49" s="31">
        <v>380000</v>
      </c>
    </row>
    <row r="50" spans="1:32" ht="30" hidden="1" x14ac:dyDescent="0.25">
      <c r="A50" s="10" t="s">
        <v>37</v>
      </c>
      <c r="B50" s="6" t="s">
        <v>27</v>
      </c>
      <c r="C50" s="36" t="s">
        <v>266</v>
      </c>
      <c r="D50" s="6" t="s">
        <v>390</v>
      </c>
      <c r="E50" s="22" t="s">
        <v>6</v>
      </c>
      <c r="F50" s="1" t="s">
        <v>221</v>
      </c>
      <c r="G50" s="1" t="s">
        <v>75</v>
      </c>
      <c r="H50" s="1" t="s">
        <v>75</v>
      </c>
      <c r="I50" s="1" t="s">
        <v>75</v>
      </c>
      <c r="J50" s="1" t="s">
        <v>75</v>
      </c>
      <c r="K50" s="1">
        <v>520820</v>
      </c>
      <c r="L50" s="1">
        <v>10000</v>
      </c>
      <c r="M50" s="1" t="s">
        <v>75</v>
      </c>
      <c r="N50" s="1" t="s">
        <v>75</v>
      </c>
      <c r="O50" s="55">
        <f>SUBTOTAL(9,G50:N50)</f>
        <v>0</v>
      </c>
      <c r="P50" s="1" t="s">
        <v>75</v>
      </c>
      <c r="Q50" s="31"/>
      <c r="R50" s="1" t="s">
        <v>75</v>
      </c>
      <c r="S50" s="1">
        <v>293</v>
      </c>
      <c r="T50" s="31">
        <v>0</v>
      </c>
      <c r="U50" s="31">
        <v>0</v>
      </c>
      <c r="V50" s="31">
        <v>0</v>
      </c>
      <c r="W50" s="31">
        <v>0</v>
      </c>
      <c r="X50" s="31">
        <v>369000</v>
      </c>
      <c r="Y50" s="31">
        <v>5000</v>
      </c>
      <c r="Z50" s="31">
        <v>156000</v>
      </c>
      <c r="AA50" s="31">
        <v>0</v>
      </c>
      <c r="AB50" s="55">
        <f>SUBTOTAL(9,T50:AA50)</f>
        <v>0</v>
      </c>
      <c r="AC50" s="31">
        <v>526000</v>
      </c>
      <c r="AD50" s="31"/>
      <c r="AE50" s="31">
        <v>526000</v>
      </c>
      <c r="AF50" s="31" t="s">
        <v>75</v>
      </c>
    </row>
    <row r="51" spans="1:32" hidden="1" x14ac:dyDescent="0.25">
      <c r="A51" s="12" t="s">
        <v>38</v>
      </c>
      <c r="B51" s="6" t="s">
        <v>27</v>
      </c>
      <c r="C51" s="1"/>
      <c r="D51" s="6"/>
      <c r="E51" s="22"/>
      <c r="F51" s="22" t="s">
        <v>625</v>
      </c>
      <c r="G51" s="22"/>
      <c r="H51" s="22"/>
      <c r="I51" s="22"/>
      <c r="J51" s="22"/>
      <c r="K51" s="22"/>
      <c r="L51" s="22"/>
      <c r="M51" s="22"/>
      <c r="N51" s="22"/>
      <c r="O51" s="32"/>
      <c r="P51" s="22"/>
      <c r="Q51" s="31"/>
      <c r="R51" s="22"/>
      <c r="S51" s="22"/>
      <c r="T51" s="31"/>
      <c r="U51" s="31"/>
      <c r="V51" s="31"/>
      <c r="W51" s="31"/>
      <c r="X51" s="31"/>
      <c r="Y51" s="31"/>
      <c r="Z51" s="31"/>
      <c r="AA51" s="31"/>
      <c r="AB51" s="31"/>
      <c r="AC51" s="31"/>
      <c r="AD51" s="31"/>
      <c r="AE51" s="31"/>
      <c r="AF51" s="31"/>
    </row>
    <row r="52" spans="1:32" x14ac:dyDescent="0.25">
      <c r="A52" s="10" t="s">
        <v>39</v>
      </c>
      <c r="B52" s="6" t="s">
        <v>7</v>
      </c>
      <c r="C52" s="1" t="s">
        <v>526</v>
      </c>
      <c r="D52" s="6" t="s">
        <v>526</v>
      </c>
      <c r="E52" s="22" t="s">
        <v>6</v>
      </c>
      <c r="F52" s="1" t="s">
        <v>6</v>
      </c>
      <c r="G52" s="1">
        <v>8888</v>
      </c>
      <c r="H52" s="1">
        <v>396</v>
      </c>
      <c r="I52" s="1">
        <v>846</v>
      </c>
      <c r="J52" s="1">
        <v>1660</v>
      </c>
      <c r="K52" s="1">
        <v>0</v>
      </c>
      <c r="L52" s="1">
        <v>17325</v>
      </c>
      <c r="M52" s="1">
        <v>602</v>
      </c>
      <c r="N52" s="1">
        <v>600</v>
      </c>
      <c r="O52" s="55">
        <f>SUBTOTAL(9,G52:N52)</f>
        <v>30317</v>
      </c>
      <c r="P52" s="13">
        <v>30317</v>
      </c>
      <c r="Q52" s="31">
        <f>SUBTOTAL(9,G52:J52)</f>
        <v>11790</v>
      </c>
      <c r="R52" s="1">
        <v>41672</v>
      </c>
      <c r="S52" s="1">
        <v>11060</v>
      </c>
      <c r="T52" s="31">
        <v>8349</v>
      </c>
      <c r="U52" s="31">
        <v>579</v>
      </c>
      <c r="V52" s="31">
        <v>525</v>
      </c>
      <c r="W52" s="31">
        <v>3827</v>
      </c>
      <c r="X52" s="31">
        <v>0</v>
      </c>
      <c r="Y52" s="31">
        <v>2016</v>
      </c>
      <c r="Z52" s="31">
        <v>830</v>
      </c>
      <c r="AA52" s="31">
        <v>29449</v>
      </c>
      <c r="AB52" s="55">
        <f>SUBTOTAL(9,T52:AA52)</f>
        <v>45575</v>
      </c>
      <c r="AC52" s="31">
        <v>45575</v>
      </c>
      <c r="AD52" s="31">
        <f>SUBTOTAL(9,T52:W52)</f>
        <v>13280</v>
      </c>
      <c r="AE52" s="31">
        <v>45390</v>
      </c>
      <c r="AF52" s="31">
        <v>24625</v>
      </c>
    </row>
    <row r="53" spans="1:32" hidden="1" x14ac:dyDescent="0.25">
      <c r="A53" s="9" t="s">
        <v>17</v>
      </c>
      <c r="B53" s="6" t="s">
        <v>9</v>
      </c>
      <c r="C53" s="1" t="s">
        <v>527</v>
      </c>
      <c r="D53" s="6" t="s">
        <v>527</v>
      </c>
      <c r="E53" s="22" t="s">
        <v>214</v>
      </c>
      <c r="F53" s="1" t="s">
        <v>221</v>
      </c>
      <c r="G53" s="41">
        <v>0</v>
      </c>
      <c r="H53" s="41">
        <v>18720</v>
      </c>
      <c r="I53" s="41">
        <v>12247</v>
      </c>
      <c r="J53" s="41">
        <v>24302</v>
      </c>
      <c r="K53" s="1" t="s">
        <v>454</v>
      </c>
      <c r="L53" s="41">
        <v>4820</v>
      </c>
      <c r="M53" s="41">
        <v>30770</v>
      </c>
      <c r="N53" s="41">
        <v>29895</v>
      </c>
      <c r="O53" s="55">
        <f>SUBTOTAL(9,G53:N53)</f>
        <v>0</v>
      </c>
      <c r="P53" s="58">
        <v>120754</v>
      </c>
      <c r="Q53" s="35">
        <f>SUBTOTAL(9,G53:J53)</f>
        <v>0</v>
      </c>
      <c r="R53" s="41">
        <v>665372</v>
      </c>
      <c r="S53" s="41">
        <v>295883</v>
      </c>
      <c r="T53" s="31">
        <v>0</v>
      </c>
      <c r="U53" s="31">
        <v>18139.07</v>
      </c>
      <c r="V53" s="31">
        <v>13750.59</v>
      </c>
      <c r="W53" s="31">
        <v>21670.400000000001</v>
      </c>
      <c r="X53" s="31">
        <v>726763.72</v>
      </c>
      <c r="Y53" s="31">
        <v>6674.98</v>
      </c>
      <c r="Z53" s="31">
        <v>9725.9500000000007</v>
      </c>
      <c r="AA53" s="31">
        <v>0</v>
      </c>
      <c r="AB53" s="55">
        <f>SUBTOTAL(9,T53:AA53)</f>
        <v>0</v>
      </c>
      <c r="AC53" s="31">
        <v>726763.72</v>
      </c>
      <c r="AD53" s="35">
        <f>SUBTOTAL(9,T53:W56)</f>
        <v>473</v>
      </c>
      <c r="AE53" s="31">
        <v>726763.72</v>
      </c>
      <c r="AF53" s="31">
        <v>338806.23</v>
      </c>
    </row>
    <row r="54" spans="1:32" hidden="1" x14ac:dyDescent="0.25">
      <c r="A54" s="8" t="s">
        <v>10</v>
      </c>
      <c r="B54" s="6" t="s">
        <v>9</v>
      </c>
      <c r="C54" s="1"/>
      <c r="D54" s="6"/>
      <c r="E54" s="22"/>
      <c r="F54" s="22" t="s">
        <v>295</v>
      </c>
      <c r="G54" s="22"/>
      <c r="H54" s="22"/>
      <c r="I54" s="22"/>
      <c r="J54" s="22"/>
      <c r="K54" s="22"/>
      <c r="L54" s="22"/>
      <c r="M54" s="22"/>
      <c r="N54" s="22"/>
      <c r="O54" s="32"/>
      <c r="P54" s="22"/>
      <c r="Q54" s="31"/>
      <c r="R54" s="22"/>
      <c r="S54" s="22"/>
      <c r="T54" s="31"/>
      <c r="U54" s="31"/>
      <c r="V54" s="31"/>
      <c r="W54" s="31"/>
      <c r="X54" s="31"/>
      <c r="Y54" s="31"/>
      <c r="Z54" s="31"/>
      <c r="AA54" s="31"/>
      <c r="AB54" s="31"/>
      <c r="AC54" s="31"/>
      <c r="AD54" s="31"/>
      <c r="AE54" s="31"/>
      <c r="AF54" s="31"/>
    </row>
    <row r="55" spans="1:32" x14ac:dyDescent="0.25">
      <c r="A55" s="15" t="s">
        <v>182</v>
      </c>
      <c r="B55" s="6" t="s">
        <v>7</v>
      </c>
      <c r="C55" s="1" t="s">
        <v>526</v>
      </c>
      <c r="D55" s="6" t="s">
        <v>526</v>
      </c>
      <c r="E55" s="22" t="s">
        <v>214</v>
      </c>
      <c r="F55" s="1" t="s">
        <v>221</v>
      </c>
      <c r="G55" s="1">
        <v>0</v>
      </c>
      <c r="H55" s="1">
        <v>1352</v>
      </c>
      <c r="I55" s="1">
        <v>0</v>
      </c>
      <c r="J55" s="1">
        <v>50</v>
      </c>
      <c r="K55" s="1">
        <v>0</v>
      </c>
      <c r="L55" s="1">
        <v>2110</v>
      </c>
      <c r="M55" s="1">
        <v>0</v>
      </c>
      <c r="N55" s="1">
        <v>0</v>
      </c>
      <c r="O55" s="55">
        <f>SUBTOTAL(9,G55:N55)</f>
        <v>3512</v>
      </c>
      <c r="P55" s="13">
        <v>3512</v>
      </c>
      <c r="Q55" s="31">
        <f>SUBTOTAL(9,G55:J55)</f>
        <v>1402</v>
      </c>
      <c r="R55" s="1">
        <v>7432</v>
      </c>
      <c r="S55" s="1">
        <v>0</v>
      </c>
      <c r="T55" s="31">
        <v>0</v>
      </c>
      <c r="U55" s="31">
        <v>392</v>
      </c>
      <c r="V55" s="31" t="s">
        <v>266</v>
      </c>
      <c r="W55" s="31">
        <v>81</v>
      </c>
      <c r="X55" s="31">
        <v>0</v>
      </c>
      <c r="Y55" s="31">
        <v>2446</v>
      </c>
      <c r="Z55" s="31">
        <v>0</v>
      </c>
      <c r="AA55" s="31">
        <v>0</v>
      </c>
      <c r="AB55" s="55">
        <f>SUBTOTAL(9,T55:AA55)</f>
        <v>2919</v>
      </c>
      <c r="AC55" s="31">
        <v>2919</v>
      </c>
      <c r="AD55" s="31">
        <f>SUBTOTAL(9,T55:W55)</f>
        <v>473</v>
      </c>
      <c r="AE55" s="31">
        <v>4981</v>
      </c>
      <c r="AF55" s="31">
        <v>0</v>
      </c>
    </row>
    <row r="56" spans="1:32" hidden="1" x14ac:dyDescent="0.25">
      <c r="A56" s="10" t="s">
        <v>40</v>
      </c>
      <c r="B56" s="6" t="s">
        <v>7</v>
      </c>
      <c r="C56" s="1" t="s">
        <v>526</v>
      </c>
      <c r="D56" s="6" t="s">
        <v>526</v>
      </c>
      <c r="E56" s="22"/>
      <c r="F56" s="22" t="s">
        <v>214</v>
      </c>
      <c r="G56" s="22"/>
      <c r="H56" s="22"/>
      <c r="I56" s="22"/>
      <c r="J56" s="22"/>
      <c r="K56" s="22"/>
      <c r="L56" s="22"/>
      <c r="M56" s="22"/>
      <c r="N56" s="22"/>
      <c r="O56" s="32"/>
      <c r="P56" s="22"/>
      <c r="Q56" s="31"/>
      <c r="R56" s="22"/>
      <c r="S56" s="22"/>
      <c r="T56" s="31">
        <v>15800</v>
      </c>
      <c r="U56" s="31">
        <v>8100</v>
      </c>
      <c r="V56" s="31">
        <v>4500</v>
      </c>
      <c r="W56" s="31">
        <v>14800</v>
      </c>
      <c r="X56" s="31">
        <v>0</v>
      </c>
      <c r="Y56" s="31">
        <v>1800</v>
      </c>
      <c r="Z56" s="31">
        <v>3100</v>
      </c>
      <c r="AA56" s="31">
        <v>78500</v>
      </c>
      <c r="AB56" s="55">
        <f>SUBTOTAL(9,T56:AA56)</f>
        <v>0</v>
      </c>
      <c r="AC56" s="31">
        <v>126600</v>
      </c>
      <c r="AD56" s="31"/>
      <c r="AE56" s="31">
        <v>162300</v>
      </c>
      <c r="AF56" s="31">
        <v>86000</v>
      </c>
    </row>
    <row r="57" spans="1:32" hidden="1" x14ac:dyDescent="0.25">
      <c r="A57" s="10" t="s">
        <v>119</v>
      </c>
      <c r="B57" s="6" t="s">
        <v>9</v>
      </c>
      <c r="C57" s="1" t="s">
        <v>527</v>
      </c>
      <c r="D57" s="6" t="s">
        <v>527</v>
      </c>
      <c r="E57" s="22" t="s">
        <v>214</v>
      </c>
      <c r="F57" s="1" t="s">
        <v>221</v>
      </c>
      <c r="G57" s="1">
        <v>0</v>
      </c>
      <c r="H57" s="1">
        <v>2792.61</v>
      </c>
      <c r="I57" s="1">
        <v>178.87</v>
      </c>
      <c r="J57" s="1">
        <v>6064.35</v>
      </c>
      <c r="K57" s="1">
        <v>299424.53999999998</v>
      </c>
      <c r="L57" s="1">
        <v>129.86000000000001</v>
      </c>
      <c r="M57" s="1">
        <v>4808.6000000000004</v>
      </c>
      <c r="N57" s="1">
        <v>63295.78</v>
      </c>
      <c r="O57" s="55">
        <f>SUBTOTAL(9,G57:N57)</f>
        <v>0</v>
      </c>
      <c r="P57" s="13">
        <v>77270.070000000007</v>
      </c>
      <c r="Q57" s="35">
        <f>SUBTOTAL(9,G57:J57)</f>
        <v>0</v>
      </c>
      <c r="R57" s="1">
        <v>376694.61</v>
      </c>
      <c r="S57" s="1">
        <v>146380.68</v>
      </c>
      <c r="T57" s="31">
        <v>0</v>
      </c>
      <c r="U57" s="31">
        <v>1249</v>
      </c>
      <c r="V57" s="31">
        <v>71</v>
      </c>
      <c r="W57" s="31">
        <v>3008</v>
      </c>
      <c r="X57" s="31">
        <v>198675</v>
      </c>
      <c r="Y57" s="31">
        <v>129</v>
      </c>
      <c r="Z57" s="31">
        <v>0</v>
      </c>
      <c r="AA57" s="31">
        <v>70000</v>
      </c>
      <c r="AB57" s="55">
        <f>SUBTOTAL(9,T57:AA57)</f>
        <v>0</v>
      </c>
      <c r="AC57" s="31">
        <v>272233</v>
      </c>
      <c r="AD57" s="35">
        <f>SUBTOTAL(9,T57:W60)</f>
        <v>0</v>
      </c>
      <c r="AE57" s="31">
        <v>272233</v>
      </c>
      <c r="AF57" s="31">
        <v>88898</v>
      </c>
    </row>
    <row r="58" spans="1:32" hidden="1" x14ac:dyDescent="0.25">
      <c r="A58" s="11" t="s">
        <v>120</v>
      </c>
      <c r="B58" s="6" t="s">
        <v>9</v>
      </c>
      <c r="C58" s="1" t="s">
        <v>528</v>
      </c>
      <c r="D58" s="6" t="s">
        <v>528</v>
      </c>
      <c r="E58" s="22" t="s">
        <v>214</v>
      </c>
      <c r="F58" s="1" t="s">
        <v>6</v>
      </c>
      <c r="G58" s="38">
        <v>141928</v>
      </c>
      <c r="H58" s="38">
        <v>76943</v>
      </c>
      <c r="I58" s="1" t="s">
        <v>266</v>
      </c>
      <c r="J58" s="38">
        <v>89879</v>
      </c>
      <c r="K58" s="38">
        <v>860332</v>
      </c>
      <c r="L58" s="1" t="s">
        <v>75</v>
      </c>
      <c r="M58" s="1" t="s">
        <v>75</v>
      </c>
      <c r="N58" s="38">
        <v>65549</v>
      </c>
      <c r="O58" s="55">
        <f>SUBTOTAL(9,G58:N58)</f>
        <v>0</v>
      </c>
      <c r="P58" s="60">
        <v>1234631</v>
      </c>
      <c r="Q58" s="35">
        <f>SUBTOTAL(9,G58:J58)</f>
        <v>0</v>
      </c>
      <c r="R58" s="38">
        <v>1234631</v>
      </c>
      <c r="S58" s="38">
        <v>703590</v>
      </c>
      <c r="T58" s="31">
        <v>155273</v>
      </c>
      <c r="U58" s="31">
        <v>102696</v>
      </c>
      <c r="V58" s="31">
        <v>0</v>
      </c>
      <c r="W58" s="31">
        <v>79973</v>
      </c>
      <c r="X58" s="31">
        <v>484950</v>
      </c>
      <c r="Y58" s="31">
        <v>4786</v>
      </c>
      <c r="Z58" s="31">
        <v>724</v>
      </c>
      <c r="AA58" s="31">
        <v>79000</v>
      </c>
      <c r="AB58" s="55">
        <f>SUBTOTAL(9,T58:AA58)</f>
        <v>0</v>
      </c>
      <c r="AC58" s="31">
        <v>907402</v>
      </c>
      <c r="AD58" s="31">
        <f>SUBTOTAL(9,T58)</f>
        <v>0</v>
      </c>
      <c r="AE58" s="31">
        <v>839053</v>
      </c>
      <c r="AF58" s="31">
        <v>566525</v>
      </c>
    </row>
    <row r="59" spans="1:32" ht="30" hidden="1" x14ac:dyDescent="0.25">
      <c r="A59" s="11" t="s">
        <v>122</v>
      </c>
      <c r="B59" s="6" t="s">
        <v>9</v>
      </c>
      <c r="C59" s="1"/>
      <c r="D59" s="6" t="s">
        <v>390</v>
      </c>
      <c r="E59" s="22" t="s">
        <v>6</v>
      </c>
      <c r="F59" s="1" t="s">
        <v>625</v>
      </c>
      <c r="G59" s="41"/>
      <c r="H59" s="41"/>
      <c r="I59" s="1"/>
      <c r="J59" s="41"/>
      <c r="K59" s="41"/>
      <c r="L59" s="1"/>
      <c r="M59" s="1"/>
      <c r="N59" s="41"/>
      <c r="O59" s="32"/>
      <c r="P59" s="41"/>
      <c r="Q59" s="31"/>
      <c r="R59" s="41"/>
      <c r="S59" s="41"/>
      <c r="T59" s="31"/>
      <c r="U59" s="31"/>
      <c r="V59" s="31"/>
      <c r="W59" s="31"/>
      <c r="X59" s="31"/>
      <c r="Y59" s="31"/>
      <c r="Z59" s="31"/>
      <c r="AA59" s="31"/>
      <c r="AB59" s="31"/>
      <c r="AC59" s="31"/>
      <c r="AD59" s="31"/>
      <c r="AE59" s="31"/>
      <c r="AF59" s="31"/>
    </row>
    <row r="60" spans="1:32" hidden="1" x14ac:dyDescent="0.25">
      <c r="A60" s="11" t="s">
        <v>41</v>
      </c>
      <c r="B60" s="6" t="s">
        <v>9</v>
      </c>
      <c r="C60" s="1" t="s">
        <v>528</v>
      </c>
      <c r="D60" s="6" t="s">
        <v>528</v>
      </c>
      <c r="E60" s="22" t="s">
        <v>214</v>
      </c>
      <c r="F60" s="1" t="s">
        <v>320</v>
      </c>
      <c r="G60" s="1">
        <v>0</v>
      </c>
      <c r="H60" s="1">
        <v>9951</v>
      </c>
      <c r="I60" s="39">
        <v>37986</v>
      </c>
      <c r="J60" s="40">
        <v>89440.52</v>
      </c>
      <c r="K60" s="1" t="s">
        <v>398</v>
      </c>
      <c r="L60" s="1">
        <v>4363</v>
      </c>
      <c r="M60" s="1">
        <v>35250</v>
      </c>
      <c r="N60" s="1">
        <v>151694</v>
      </c>
      <c r="O60" s="55">
        <f>SUBTOTAL(9,G60:N60)</f>
        <v>0</v>
      </c>
      <c r="P60" s="13">
        <v>370691.52</v>
      </c>
      <c r="Q60" s="35">
        <f>SUBTOTAL(9,G60:J60)</f>
        <v>0</v>
      </c>
      <c r="R60" s="1">
        <v>630314</v>
      </c>
      <c r="S60" s="1">
        <v>177801</v>
      </c>
      <c r="T60" s="31">
        <v>19427</v>
      </c>
      <c r="U60" s="31">
        <v>9203</v>
      </c>
      <c r="V60" s="31">
        <v>27501</v>
      </c>
      <c r="W60" s="31">
        <v>20826.34</v>
      </c>
      <c r="X60" s="31" t="s">
        <v>656</v>
      </c>
      <c r="Y60" s="31">
        <v>1484</v>
      </c>
      <c r="Z60" s="31">
        <v>3500</v>
      </c>
      <c r="AA60" s="31">
        <v>178212</v>
      </c>
      <c r="AB60" s="55">
        <f>SUBTOTAL(9,T60:AA60)</f>
        <v>0</v>
      </c>
      <c r="AC60" s="31">
        <v>260153.34</v>
      </c>
      <c r="AD60" s="31">
        <f>SUBTOTAL(9,T60)</f>
        <v>0</v>
      </c>
      <c r="AE60" s="31">
        <v>415421</v>
      </c>
      <c r="AF60" s="31">
        <v>258799</v>
      </c>
    </row>
    <row r="61" spans="1:32" ht="30" hidden="1" x14ac:dyDescent="0.25">
      <c r="A61" s="12" t="s">
        <v>42</v>
      </c>
      <c r="B61" s="6" t="s">
        <v>27</v>
      </c>
      <c r="C61" s="1" t="s">
        <v>527</v>
      </c>
      <c r="D61" s="6" t="s">
        <v>527</v>
      </c>
      <c r="E61" s="22" t="s">
        <v>6</v>
      </c>
      <c r="F61" s="1" t="s">
        <v>221</v>
      </c>
      <c r="G61" s="1">
        <v>0</v>
      </c>
      <c r="H61" s="42">
        <v>453.98</v>
      </c>
      <c r="I61" s="1" t="s">
        <v>301</v>
      </c>
      <c r="J61" s="41">
        <v>31903</v>
      </c>
      <c r="K61" s="38">
        <v>27000</v>
      </c>
      <c r="L61" s="41">
        <v>102</v>
      </c>
      <c r="M61" s="41">
        <v>232340</v>
      </c>
      <c r="N61" s="1" t="s">
        <v>301</v>
      </c>
      <c r="O61" s="55">
        <f>SUBTOTAL(9,G61:N61)</f>
        <v>0</v>
      </c>
      <c r="P61" s="58">
        <v>291798</v>
      </c>
      <c r="Q61" s="31"/>
      <c r="R61" s="41">
        <v>281598</v>
      </c>
      <c r="S61" s="41">
        <v>104553</v>
      </c>
      <c r="T61" s="31" t="s">
        <v>75</v>
      </c>
      <c r="U61" s="31" t="s">
        <v>75</v>
      </c>
      <c r="V61" s="31" t="s">
        <v>75</v>
      </c>
      <c r="W61" s="31" t="s">
        <v>75</v>
      </c>
      <c r="X61" s="31" t="s">
        <v>75</v>
      </c>
      <c r="Y61" s="31" t="s">
        <v>75</v>
      </c>
      <c r="Z61" s="31" t="s">
        <v>75</v>
      </c>
      <c r="AA61" s="31" t="s">
        <v>75</v>
      </c>
      <c r="AB61" s="31"/>
      <c r="AC61" s="31" t="s">
        <v>75</v>
      </c>
      <c r="AD61" s="31"/>
      <c r="AE61" s="31" t="s">
        <v>75</v>
      </c>
      <c r="AF61" s="31" t="s">
        <v>75</v>
      </c>
    </row>
    <row r="62" spans="1:32" hidden="1" x14ac:dyDescent="0.25">
      <c r="A62" s="15" t="s">
        <v>183</v>
      </c>
      <c r="B62" s="6" t="s">
        <v>9</v>
      </c>
      <c r="C62" s="1" t="s">
        <v>527</v>
      </c>
      <c r="D62" s="6" t="s">
        <v>527</v>
      </c>
      <c r="E62" s="22" t="s">
        <v>6</v>
      </c>
      <c r="F62" s="1" t="s">
        <v>6</v>
      </c>
      <c r="G62" s="1">
        <v>1590</v>
      </c>
      <c r="H62" s="1">
        <v>7073</v>
      </c>
      <c r="I62" s="1">
        <v>0</v>
      </c>
      <c r="J62" s="1">
        <v>33054</v>
      </c>
      <c r="K62" s="1" t="s">
        <v>281</v>
      </c>
      <c r="L62" s="1">
        <v>100</v>
      </c>
      <c r="M62" s="1" t="s">
        <v>281</v>
      </c>
      <c r="N62" s="1" t="s">
        <v>281</v>
      </c>
      <c r="O62" s="55">
        <f>SUBTOTAL(9,G62:N62)</f>
        <v>0</v>
      </c>
      <c r="P62" s="13">
        <v>41817</v>
      </c>
      <c r="Q62" s="35">
        <f>SUBTOTAL(9,G62:J62)</f>
        <v>0</v>
      </c>
      <c r="R62" s="1" t="s">
        <v>281</v>
      </c>
      <c r="S62" s="1" t="s">
        <v>281</v>
      </c>
      <c r="T62" s="31">
        <v>13122</v>
      </c>
      <c r="U62" s="31">
        <v>9232</v>
      </c>
      <c r="V62" s="31">
        <v>0</v>
      </c>
      <c r="W62" s="31">
        <v>45790</v>
      </c>
      <c r="X62" s="31">
        <v>0</v>
      </c>
      <c r="Y62" s="31">
        <v>7195</v>
      </c>
      <c r="Z62" s="31">
        <v>0</v>
      </c>
      <c r="AA62" s="31">
        <v>0</v>
      </c>
      <c r="AB62" s="55">
        <f>SUBTOTAL(9,T62:AA62)</f>
        <v>0</v>
      </c>
      <c r="AC62" s="31">
        <v>75339</v>
      </c>
      <c r="AD62" s="31">
        <f>SUBTOTAL(9,T62)</f>
        <v>0</v>
      </c>
      <c r="AE62" s="31">
        <v>351312</v>
      </c>
      <c r="AF62" s="31">
        <v>181402</v>
      </c>
    </row>
    <row r="63" spans="1:32" hidden="1" x14ac:dyDescent="0.25">
      <c r="A63" s="23" t="s">
        <v>184</v>
      </c>
      <c r="B63" s="6" t="s">
        <v>9</v>
      </c>
      <c r="C63" s="1" t="s">
        <v>527</v>
      </c>
      <c r="D63" s="6" t="s">
        <v>527</v>
      </c>
      <c r="E63" s="22" t="s">
        <v>214</v>
      </c>
      <c r="F63" s="1" t="s">
        <v>221</v>
      </c>
      <c r="G63" s="1" t="s">
        <v>75</v>
      </c>
      <c r="H63" s="1" t="s">
        <v>75</v>
      </c>
      <c r="I63" s="1" t="s">
        <v>75</v>
      </c>
      <c r="J63" s="1">
        <v>19643.37</v>
      </c>
      <c r="K63" s="1">
        <v>809100</v>
      </c>
      <c r="L63" s="1">
        <v>200</v>
      </c>
      <c r="M63" s="1" t="s">
        <v>75</v>
      </c>
      <c r="N63" s="1" t="s">
        <v>75</v>
      </c>
      <c r="O63" s="32">
        <f>SUBTOTAL(9,G26:M26,G28:M28,G59:M59,G63:M63,G96:M96)</f>
        <v>11483</v>
      </c>
      <c r="P63" s="1" t="s">
        <v>75</v>
      </c>
      <c r="Q63" s="31"/>
      <c r="R63" s="1" t="s">
        <v>75</v>
      </c>
      <c r="S63" s="1" t="s">
        <v>75</v>
      </c>
      <c r="T63" s="31">
        <v>0</v>
      </c>
      <c r="U63" s="31">
        <v>26594</v>
      </c>
      <c r="V63" s="31">
        <v>0</v>
      </c>
      <c r="W63" s="31">
        <v>20708</v>
      </c>
      <c r="X63" s="31">
        <v>775600</v>
      </c>
      <c r="Y63" s="31" t="s">
        <v>657</v>
      </c>
      <c r="Z63" s="31" t="s">
        <v>83</v>
      </c>
      <c r="AA63" s="31" t="s">
        <v>83</v>
      </c>
      <c r="AB63" s="55">
        <f>SUBTOTAL(9,T26:Z26,T28:Z28,T59:Z59,T63:Z63,T96:Z96)</f>
        <v>7754</v>
      </c>
      <c r="AC63" s="31" t="s">
        <v>83</v>
      </c>
      <c r="AD63" s="31"/>
      <c r="AE63" s="31" t="s">
        <v>83</v>
      </c>
      <c r="AF63" s="31" t="s">
        <v>83</v>
      </c>
    </row>
    <row r="64" spans="1:32" hidden="1" x14ac:dyDescent="0.25">
      <c r="A64" s="15" t="s">
        <v>185</v>
      </c>
      <c r="B64" s="6" t="s">
        <v>9</v>
      </c>
      <c r="C64" s="1" t="s">
        <v>528</v>
      </c>
      <c r="D64" s="6" t="s">
        <v>642</v>
      </c>
      <c r="E64" s="22" t="s">
        <v>214</v>
      </c>
      <c r="F64" s="1" t="s">
        <v>221</v>
      </c>
      <c r="G64" s="1" t="s">
        <v>75</v>
      </c>
      <c r="H64" s="1">
        <v>13156.42</v>
      </c>
      <c r="I64" s="1" t="s">
        <v>75</v>
      </c>
      <c r="J64" s="1">
        <v>10282.36</v>
      </c>
      <c r="K64" s="1" t="s">
        <v>75</v>
      </c>
      <c r="L64" s="1" t="s">
        <v>75</v>
      </c>
      <c r="M64" s="1" t="s">
        <v>75</v>
      </c>
      <c r="N64" s="1" t="s">
        <v>75</v>
      </c>
      <c r="O64" s="32" t="s">
        <v>610</v>
      </c>
      <c r="P64" s="1" t="s">
        <v>75</v>
      </c>
      <c r="Q64" s="31"/>
      <c r="R64" s="1" t="s">
        <v>75</v>
      </c>
      <c r="S64" s="1" t="s">
        <v>75</v>
      </c>
      <c r="T64" s="31">
        <v>0</v>
      </c>
      <c r="U64" s="31">
        <v>22821</v>
      </c>
      <c r="V64" s="31">
        <v>13500</v>
      </c>
      <c r="W64" s="31">
        <v>12667</v>
      </c>
      <c r="X64" s="31" t="s">
        <v>83</v>
      </c>
      <c r="Y64" s="31" t="s">
        <v>658</v>
      </c>
      <c r="Z64" s="31" t="s">
        <v>659</v>
      </c>
      <c r="AA64" s="31" t="s">
        <v>83</v>
      </c>
      <c r="AB64" s="55" t="s">
        <v>610</v>
      </c>
      <c r="AC64" s="31" t="s">
        <v>83</v>
      </c>
      <c r="AD64" s="31"/>
      <c r="AE64" s="31" t="s">
        <v>83</v>
      </c>
      <c r="AF64" s="31" t="s">
        <v>83</v>
      </c>
    </row>
    <row r="65" spans="1:32" hidden="1" x14ac:dyDescent="0.25">
      <c r="A65" s="15" t="s">
        <v>140</v>
      </c>
      <c r="B65" s="6" t="s">
        <v>9</v>
      </c>
      <c r="C65" s="14" t="s">
        <v>614</v>
      </c>
      <c r="D65" s="6" t="s">
        <v>529</v>
      </c>
      <c r="E65" s="36" t="s">
        <v>214</v>
      </c>
      <c r="F65" s="1" t="s">
        <v>6</v>
      </c>
      <c r="G65" s="38">
        <v>1221004</v>
      </c>
      <c r="H65" s="38">
        <v>241733</v>
      </c>
      <c r="I65" s="38">
        <v>378153</v>
      </c>
      <c r="J65" s="38">
        <v>323445</v>
      </c>
      <c r="K65" s="38">
        <v>1275170</v>
      </c>
      <c r="L65" s="38">
        <v>73677</v>
      </c>
      <c r="M65" s="38">
        <v>127683</v>
      </c>
      <c r="N65" s="38">
        <v>943031</v>
      </c>
      <c r="O65" s="55">
        <f>SUBTOTAL(9,G65:N65)</f>
        <v>0</v>
      </c>
      <c r="P65" s="60">
        <v>4583896</v>
      </c>
      <c r="Q65" s="35">
        <f>SUBTOTAL(9,G65:J65)</f>
        <v>0</v>
      </c>
      <c r="R65" s="38">
        <v>7100967</v>
      </c>
      <c r="S65" s="38">
        <v>4138214</v>
      </c>
      <c r="T65" s="35">
        <v>1202133</v>
      </c>
      <c r="U65" s="35">
        <v>225595</v>
      </c>
      <c r="V65" s="35">
        <v>437785</v>
      </c>
      <c r="W65" s="63">
        <v>259595</v>
      </c>
      <c r="X65" s="63">
        <v>1860162</v>
      </c>
      <c r="Y65" s="63">
        <v>82488</v>
      </c>
      <c r="Z65" s="63">
        <v>176430</v>
      </c>
      <c r="AA65" s="63">
        <v>769181</v>
      </c>
      <c r="AB65" s="55">
        <f>SUBTOTAL(9,T65:AA65)</f>
        <v>0</v>
      </c>
      <c r="AC65" s="35">
        <v>5013369</v>
      </c>
      <c r="AD65" s="31">
        <f>SUBTOTAL(9,T65)</f>
        <v>0</v>
      </c>
      <c r="AE65" s="35">
        <v>7186794</v>
      </c>
      <c r="AF65" s="35">
        <v>3981027</v>
      </c>
    </row>
    <row r="66" spans="1:32" hidden="1" x14ac:dyDescent="0.25">
      <c r="A66" s="15" t="s">
        <v>626</v>
      </c>
      <c r="B66" s="6" t="s">
        <v>9</v>
      </c>
      <c r="C66" s="14" t="s">
        <v>527</v>
      </c>
      <c r="D66" s="6" t="s">
        <v>527</v>
      </c>
      <c r="E66" s="36" t="s">
        <v>214</v>
      </c>
      <c r="F66" s="1" t="s">
        <v>6</v>
      </c>
      <c r="G66" s="1" t="s">
        <v>75</v>
      </c>
      <c r="H66" s="1" t="s">
        <v>75</v>
      </c>
      <c r="I66" s="1" t="s">
        <v>75</v>
      </c>
      <c r="J66" s="1" t="s">
        <v>75</v>
      </c>
      <c r="K66" s="1" t="s">
        <v>75</v>
      </c>
      <c r="L66" s="1" t="s">
        <v>75</v>
      </c>
      <c r="M66" s="1" t="s">
        <v>75</v>
      </c>
      <c r="N66" s="1" t="s">
        <v>75</v>
      </c>
      <c r="O66" s="33" t="s">
        <v>611</v>
      </c>
      <c r="P66" s="1" t="s">
        <v>75</v>
      </c>
      <c r="Q66" s="31"/>
      <c r="R66" s="1" t="s">
        <v>75</v>
      </c>
      <c r="S66" s="1" t="s">
        <v>75</v>
      </c>
      <c r="T66" s="35" t="s">
        <v>611</v>
      </c>
      <c r="U66" s="35" t="s">
        <v>611</v>
      </c>
      <c r="V66" s="35" t="s">
        <v>611</v>
      </c>
      <c r="W66" s="35" t="s">
        <v>611</v>
      </c>
      <c r="X66" s="35" t="s">
        <v>611</v>
      </c>
      <c r="Y66" s="35" t="s">
        <v>611</v>
      </c>
      <c r="Z66" s="35" t="s">
        <v>611</v>
      </c>
      <c r="AA66" s="35" t="s">
        <v>611</v>
      </c>
      <c r="AB66" s="62" t="s">
        <v>611</v>
      </c>
      <c r="AC66" s="35" t="s">
        <v>611</v>
      </c>
      <c r="AD66" s="31"/>
      <c r="AE66" s="35" t="s">
        <v>611</v>
      </c>
      <c r="AF66" s="35" t="s">
        <v>611</v>
      </c>
    </row>
    <row r="67" spans="1:32" hidden="1" x14ac:dyDescent="0.25">
      <c r="A67" s="15" t="s">
        <v>142</v>
      </c>
      <c r="B67" s="6" t="s">
        <v>9</v>
      </c>
      <c r="C67" s="14" t="s">
        <v>526</v>
      </c>
      <c r="D67" s="6" t="s">
        <v>526</v>
      </c>
      <c r="E67" s="36" t="s">
        <v>214</v>
      </c>
      <c r="F67" s="1" t="s">
        <v>6</v>
      </c>
      <c r="G67" s="1" t="s">
        <v>75</v>
      </c>
      <c r="H67" s="1" t="s">
        <v>75</v>
      </c>
      <c r="I67" s="1" t="s">
        <v>75</v>
      </c>
      <c r="J67" s="1" t="s">
        <v>75</v>
      </c>
      <c r="K67" s="1" t="s">
        <v>75</v>
      </c>
      <c r="L67" s="1" t="s">
        <v>75</v>
      </c>
      <c r="M67" s="1" t="s">
        <v>75</v>
      </c>
      <c r="N67" s="1" t="s">
        <v>75</v>
      </c>
      <c r="O67" s="33" t="s">
        <v>611</v>
      </c>
      <c r="P67" s="1" t="s">
        <v>75</v>
      </c>
      <c r="Q67" s="31"/>
      <c r="R67" s="1" t="s">
        <v>75</v>
      </c>
      <c r="S67" s="1" t="s">
        <v>75</v>
      </c>
      <c r="T67" s="35" t="s">
        <v>611</v>
      </c>
      <c r="U67" s="35" t="s">
        <v>611</v>
      </c>
      <c r="V67" s="35" t="s">
        <v>611</v>
      </c>
      <c r="W67" s="35" t="s">
        <v>611</v>
      </c>
      <c r="X67" s="35" t="s">
        <v>611</v>
      </c>
      <c r="Y67" s="35" t="s">
        <v>611</v>
      </c>
      <c r="Z67" s="35" t="s">
        <v>611</v>
      </c>
      <c r="AA67" s="35" t="s">
        <v>611</v>
      </c>
      <c r="AB67" s="62" t="s">
        <v>611</v>
      </c>
      <c r="AC67" s="35" t="s">
        <v>611</v>
      </c>
      <c r="AD67" s="31"/>
      <c r="AE67" s="35" t="s">
        <v>611</v>
      </c>
      <c r="AF67" s="35" t="s">
        <v>611</v>
      </c>
    </row>
    <row r="68" spans="1:32" hidden="1" x14ac:dyDescent="0.25">
      <c r="A68" s="7" t="s">
        <v>143</v>
      </c>
      <c r="B68" s="6" t="s">
        <v>9</v>
      </c>
      <c r="C68" s="14" t="s">
        <v>527</v>
      </c>
      <c r="D68" s="6" t="s">
        <v>527</v>
      </c>
      <c r="E68" s="36" t="s">
        <v>214</v>
      </c>
      <c r="F68" s="1" t="s">
        <v>6</v>
      </c>
      <c r="G68" s="1" t="s">
        <v>75</v>
      </c>
      <c r="H68" s="1" t="s">
        <v>75</v>
      </c>
      <c r="I68" s="1" t="s">
        <v>75</v>
      </c>
      <c r="J68" s="1" t="s">
        <v>75</v>
      </c>
      <c r="K68" s="1" t="s">
        <v>75</v>
      </c>
      <c r="L68" s="1" t="s">
        <v>75</v>
      </c>
      <c r="M68" s="1" t="s">
        <v>75</v>
      </c>
      <c r="N68" s="1" t="s">
        <v>75</v>
      </c>
      <c r="O68" s="33" t="s">
        <v>611</v>
      </c>
      <c r="P68" s="1" t="s">
        <v>75</v>
      </c>
      <c r="Q68" s="31"/>
      <c r="R68" s="1" t="s">
        <v>75</v>
      </c>
      <c r="S68" s="1" t="s">
        <v>75</v>
      </c>
      <c r="T68" s="35" t="s">
        <v>611</v>
      </c>
      <c r="U68" s="35" t="s">
        <v>611</v>
      </c>
      <c r="V68" s="35" t="s">
        <v>611</v>
      </c>
      <c r="W68" s="35" t="s">
        <v>611</v>
      </c>
      <c r="X68" s="35" t="s">
        <v>611</v>
      </c>
      <c r="Y68" s="35" t="s">
        <v>611</v>
      </c>
      <c r="Z68" s="35" t="s">
        <v>611</v>
      </c>
      <c r="AA68" s="35" t="s">
        <v>611</v>
      </c>
      <c r="AB68" s="62" t="s">
        <v>611</v>
      </c>
      <c r="AC68" s="35" t="s">
        <v>611</v>
      </c>
      <c r="AD68" s="31"/>
      <c r="AE68" s="35" t="s">
        <v>611</v>
      </c>
      <c r="AF68" s="35" t="s">
        <v>611</v>
      </c>
    </row>
    <row r="69" spans="1:32" hidden="1" x14ac:dyDescent="0.25">
      <c r="A69" s="15" t="s">
        <v>144</v>
      </c>
      <c r="B69" s="6" t="s">
        <v>9</v>
      </c>
      <c r="C69" s="14" t="s">
        <v>527</v>
      </c>
      <c r="D69" s="6" t="s">
        <v>526</v>
      </c>
      <c r="E69" s="36" t="s">
        <v>214</v>
      </c>
      <c r="F69" s="1" t="s">
        <v>6</v>
      </c>
      <c r="G69" s="1" t="s">
        <v>75</v>
      </c>
      <c r="H69" s="1" t="s">
        <v>75</v>
      </c>
      <c r="I69" s="1" t="s">
        <v>75</v>
      </c>
      <c r="J69" s="1" t="s">
        <v>75</v>
      </c>
      <c r="K69" s="1" t="s">
        <v>75</v>
      </c>
      <c r="L69" s="1" t="s">
        <v>75</v>
      </c>
      <c r="M69" s="1" t="s">
        <v>75</v>
      </c>
      <c r="N69" s="1" t="s">
        <v>75</v>
      </c>
      <c r="O69" s="33" t="s">
        <v>611</v>
      </c>
      <c r="P69" s="1" t="s">
        <v>75</v>
      </c>
      <c r="Q69" s="31"/>
      <c r="R69" s="1" t="s">
        <v>75</v>
      </c>
      <c r="S69" s="1" t="s">
        <v>75</v>
      </c>
      <c r="T69" s="35" t="s">
        <v>611</v>
      </c>
      <c r="U69" s="35" t="s">
        <v>611</v>
      </c>
      <c r="V69" s="35" t="s">
        <v>611</v>
      </c>
      <c r="W69" s="35" t="s">
        <v>611</v>
      </c>
      <c r="X69" s="35" t="s">
        <v>611</v>
      </c>
      <c r="Y69" s="35" t="s">
        <v>611</v>
      </c>
      <c r="Z69" s="35" t="s">
        <v>611</v>
      </c>
      <c r="AA69" s="35" t="s">
        <v>611</v>
      </c>
      <c r="AB69" s="62" t="s">
        <v>611</v>
      </c>
      <c r="AC69" s="35" t="s">
        <v>611</v>
      </c>
      <c r="AD69" s="31"/>
      <c r="AE69" s="35" t="s">
        <v>611</v>
      </c>
      <c r="AF69" s="35" t="s">
        <v>611</v>
      </c>
    </row>
    <row r="70" spans="1:32" hidden="1" x14ac:dyDescent="0.25">
      <c r="A70" s="15" t="s">
        <v>145</v>
      </c>
      <c r="B70" s="6" t="s">
        <v>9</v>
      </c>
      <c r="C70" s="14" t="s">
        <v>526</v>
      </c>
      <c r="D70" s="6" t="s">
        <v>526</v>
      </c>
      <c r="E70" s="36" t="s">
        <v>214</v>
      </c>
      <c r="F70" s="1" t="s">
        <v>6</v>
      </c>
      <c r="G70" s="1" t="s">
        <v>75</v>
      </c>
      <c r="H70" s="1" t="s">
        <v>75</v>
      </c>
      <c r="I70" s="1" t="s">
        <v>75</v>
      </c>
      <c r="J70" s="1" t="s">
        <v>75</v>
      </c>
      <c r="K70" s="1" t="s">
        <v>75</v>
      </c>
      <c r="L70" s="1" t="s">
        <v>75</v>
      </c>
      <c r="M70" s="1" t="s">
        <v>75</v>
      </c>
      <c r="N70" s="1" t="s">
        <v>75</v>
      </c>
      <c r="O70" s="33" t="s">
        <v>611</v>
      </c>
      <c r="P70" s="1" t="s">
        <v>75</v>
      </c>
      <c r="Q70" s="31"/>
      <c r="R70" s="1" t="s">
        <v>75</v>
      </c>
      <c r="S70" s="1" t="s">
        <v>75</v>
      </c>
      <c r="T70" s="35" t="s">
        <v>611</v>
      </c>
      <c r="U70" s="35" t="s">
        <v>611</v>
      </c>
      <c r="V70" s="35" t="s">
        <v>611</v>
      </c>
      <c r="W70" s="35" t="s">
        <v>611</v>
      </c>
      <c r="X70" s="35" t="s">
        <v>611</v>
      </c>
      <c r="Y70" s="35" t="s">
        <v>611</v>
      </c>
      <c r="Z70" s="35" t="s">
        <v>611</v>
      </c>
      <c r="AA70" s="35" t="s">
        <v>611</v>
      </c>
      <c r="AB70" s="62" t="s">
        <v>611</v>
      </c>
      <c r="AC70" s="35" t="s">
        <v>611</v>
      </c>
      <c r="AD70" s="31"/>
      <c r="AE70" s="35" t="s">
        <v>611</v>
      </c>
      <c r="AF70" s="35" t="s">
        <v>611</v>
      </c>
    </row>
    <row r="71" spans="1:32" hidden="1" x14ac:dyDescent="0.25">
      <c r="A71" s="7" t="s">
        <v>146</v>
      </c>
      <c r="B71" s="6" t="s">
        <v>9</v>
      </c>
      <c r="C71" s="14" t="s">
        <v>527</v>
      </c>
      <c r="D71" s="6" t="s">
        <v>527</v>
      </c>
      <c r="E71" s="36" t="s">
        <v>214</v>
      </c>
      <c r="F71" s="1" t="s">
        <v>6</v>
      </c>
      <c r="G71" s="1" t="s">
        <v>75</v>
      </c>
      <c r="H71" s="1" t="s">
        <v>75</v>
      </c>
      <c r="I71" s="1" t="s">
        <v>75</v>
      </c>
      <c r="J71" s="1" t="s">
        <v>75</v>
      </c>
      <c r="K71" s="1" t="s">
        <v>75</v>
      </c>
      <c r="L71" s="1" t="s">
        <v>75</v>
      </c>
      <c r="M71" s="1" t="s">
        <v>75</v>
      </c>
      <c r="N71" s="1" t="s">
        <v>75</v>
      </c>
      <c r="O71" s="33" t="s">
        <v>611</v>
      </c>
      <c r="P71" s="1" t="s">
        <v>75</v>
      </c>
      <c r="Q71" s="31"/>
      <c r="R71" s="1" t="s">
        <v>75</v>
      </c>
      <c r="S71" s="1" t="s">
        <v>75</v>
      </c>
      <c r="T71" s="35" t="s">
        <v>611</v>
      </c>
      <c r="U71" s="35" t="s">
        <v>611</v>
      </c>
      <c r="V71" s="35" t="s">
        <v>611</v>
      </c>
      <c r="W71" s="35" t="s">
        <v>611</v>
      </c>
      <c r="X71" s="35" t="s">
        <v>611</v>
      </c>
      <c r="Y71" s="35" t="s">
        <v>611</v>
      </c>
      <c r="Z71" s="35" t="s">
        <v>611</v>
      </c>
      <c r="AA71" s="35" t="s">
        <v>611</v>
      </c>
      <c r="AB71" s="62" t="s">
        <v>611</v>
      </c>
      <c r="AC71" s="35" t="s">
        <v>611</v>
      </c>
      <c r="AD71" s="31"/>
      <c r="AE71" s="35" t="s">
        <v>611</v>
      </c>
      <c r="AF71" s="35" t="s">
        <v>611</v>
      </c>
    </row>
    <row r="72" spans="1:32" hidden="1" x14ac:dyDescent="0.25">
      <c r="A72" s="7" t="s">
        <v>147</v>
      </c>
      <c r="B72" s="6" t="s">
        <v>9</v>
      </c>
      <c r="C72" s="14" t="s">
        <v>528</v>
      </c>
      <c r="D72" s="6" t="s">
        <v>528</v>
      </c>
      <c r="E72" s="36" t="s">
        <v>214</v>
      </c>
      <c r="F72" s="1" t="s">
        <v>6</v>
      </c>
      <c r="G72" s="1" t="s">
        <v>75</v>
      </c>
      <c r="H72" s="1" t="s">
        <v>75</v>
      </c>
      <c r="I72" s="1" t="s">
        <v>75</v>
      </c>
      <c r="J72" s="1" t="s">
        <v>75</v>
      </c>
      <c r="K72" s="1" t="s">
        <v>75</v>
      </c>
      <c r="L72" s="1" t="s">
        <v>75</v>
      </c>
      <c r="M72" s="1" t="s">
        <v>75</v>
      </c>
      <c r="N72" s="1" t="s">
        <v>75</v>
      </c>
      <c r="O72" s="33" t="s">
        <v>611</v>
      </c>
      <c r="P72" s="1" t="s">
        <v>75</v>
      </c>
      <c r="Q72" s="31"/>
      <c r="R72" s="1" t="s">
        <v>75</v>
      </c>
      <c r="S72" s="1" t="s">
        <v>75</v>
      </c>
      <c r="T72" s="35" t="s">
        <v>611</v>
      </c>
      <c r="U72" s="35" t="s">
        <v>611</v>
      </c>
      <c r="V72" s="35" t="s">
        <v>611</v>
      </c>
      <c r="W72" s="35" t="s">
        <v>611</v>
      </c>
      <c r="X72" s="35" t="s">
        <v>611</v>
      </c>
      <c r="Y72" s="35" t="s">
        <v>611</v>
      </c>
      <c r="Z72" s="35" t="s">
        <v>611</v>
      </c>
      <c r="AA72" s="35" t="s">
        <v>611</v>
      </c>
      <c r="AB72" s="62" t="s">
        <v>611</v>
      </c>
      <c r="AC72" s="35" t="s">
        <v>611</v>
      </c>
      <c r="AD72" s="31"/>
      <c r="AE72" s="35" t="s">
        <v>611</v>
      </c>
      <c r="AF72" s="35" t="s">
        <v>611</v>
      </c>
    </row>
    <row r="73" spans="1:32" hidden="1" x14ac:dyDescent="0.25">
      <c r="A73" s="15" t="s">
        <v>148</v>
      </c>
      <c r="B73" s="6" t="s">
        <v>9</v>
      </c>
      <c r="C73" s="14" t="s">
        <v>527</v>
      </c>
      <c r="D73" s="6" t="s">
        <v>527</v>
      </c>
      <c r="E73" s="36" t="s">
        <v>214</v>
      </c>
      <c r="F73" s="1" t="s">
        <v>6</v>
      </c>
      <c r="G73" s="1" t="s">
        <v>75</v>
      </c>
      <c r="H73" s="1" t="s">
        <v>75</v>
      </c>
      <c r="I73" s="1" t="s">
        <v>75</v>
      </c>
      <c r="J73" s="1" t="s">
        <v>75</v>
      </c>
      <c r="K73" s="1" t="s">
        <v>75</v>
      </c>
      <c r="L73" s="1" t="s">
        <v>75</v>
      </c>
      <c r="M73" s="1" t="s">
        <v>75</v>
      </c>
      <c r="N73" s="1" t="s">
        <v>75</v>
      </c>
      <c r="O73" s="33" t="s">
        <v>611</v>
      </c>
      <c r="P73" s="1" t="s">
        <v>75</v>
      </c>
      <c r="Q73" s="31"/>
      <c r="R73" s="1" t="s">
        <v>75</v>
      </c>
      <c r="S73" s="1" t="s">
        <v>75</v>
      </c>
      <c r="T73" s="35" t="s">
        <v>611</v>
      </c>
      <c r="U73" s="35" t="s">
        <v>611</v>
      </c>
      <c r="V73" s="35" t="s">
        <v>611</v>
      </c>
      <c r="W73" s="35" t="s">
        <v>611</v>
      </c>
      <c r="X73" s="35" t="s">
        <v>611</v>
      </c>
      <c r="Y73" s="35" t="s">
        <v>611</v>
      </c>
      <c r="Z73" s="35" t="s">
        <v>611</v>
      </c>
      <c r="AA73" s="35" t="s">
        <v>611</v>
      </c>
      <c r="AB73" s="62" t="s">
        <v>611</v>
      </c>
      <c r="AC73" s="35" t="s">
        <v>611</v>
      </c>
      <c r="AD73" s="31"/>
      <c r="AE73" s="35" t="s">
        <v>611</v>
      </c>
      <c r="AF73" s="35" t="s">
        <v>611</v>
      </c>
    </row>
    <row r="74" spans="1:32" hidden="1" x14ac:dyDescent="0.25">
      <c r="A74" s="7" t="s">
        <v>149</v>
      </c>
      <c r="B74" s="6" t="s">
        <v>9</v>
      </c>
      <c r="C74" s="14" t="s">
        <v>526</v>
      </c>
      <c r="D74" s="6" t="s">
        <v>527</v>
      </c>
      <c r="E74" s="36" t="s">
        <v>214</v>
      </c>
      <c r="F74" s="1" t="s">
        <v>6</v>
      </c>
      <c r="G74" s="1" t="s">
        <v>75</v>
      </c>
      <c r="H74" s="1" t="s">
        <v>75</v>
      </c>
      <c r="I74" s="1" t="s">
        <v>75</v>
      </c>
      <c r="J74" s="1" t="s">
        <v>75</v>
      </c>
      <c r="K74" s="1" t="s">
        <v>75</v>
      </c>
      <c r="L74" s="1" t="s">
        <v>75</v>
      </c>
      <c r="M74" s="1" t="s">
        <v>75</v>
      </c>
      <c r="N74" s="1" t="s">
        <v>75</v>
      </c>
      <c r="O74" s="33" t="s">
        <v>611</v>
      </c>
      <c r="P74" s="1" t="s">
        <v>75</v>
      </c>
      <c r="Q74" s="31"/>
      <c r="R74" s="1" t="s">
        <v>75</v>
      </c>
      <c r="S74" s="1" t="s">
        <v>75</v>
      </c>
      <c r="T74" s="35" t="s">
        <v>611</v>
      </c>
      <c r="U74" s="35" t="s">
        <v>611</v>
      </c>
      <c r="V74" s="35" t="s">
        <v>611</v>
      </c>
      <c r="W74" s="35" t="s">
        <v>611</v>
      </c>
      <c r="X74" s="35" t="s">
        <v>611</v>
      </c>
      <c r="Y74" s="35" t="s">
        <v>611</v>
      </c>
      <c r="Z74" s="35" t="s">
        <v>611</v>
      </c>
      <c r="AA74" s="35" t="s">
        <v>611</v>
      </c>
      <c r="AB74" s="62" t="s">
        <v>611</v>
      </c>
      <c r="AC74" s="35" t="s">
        <v>611</v>
      </c>
      <c r="AD74" s="31"/>
      <c r="AE74" s="35" t="s">
        <v>611</v>
      </c>
      <c r="AF74" s="35" t="s">
        <v>611</v>
      </c>
    </row>
    <row r="75" spans="1:32" hidden="1" x14ac:dyDescent="0.25">
      <c r="A75" s="8" t="s">
        <v>150</v>
      </c>
      <c r="B75" s="6" t="s">
        <v>9</v>
      </c>
      <c r="C75" s="1"/>
      <c r="D75" s="6"/>
      <c r="E75" s="22"/>
      <c r="F75" s="22" t="s">
        <v>214</v>
      </c>
      <c r="G75" s="22"/>
      <c r="H75" s="22"/>
      <c r="I75" s="22"/>
      <c r="J75" s="22"/>
      <c r="K75" s="22"/>
      <c r="L75" s="22"/>
      <c r="M75" s="22"/>
      <c r="N75" s="22"/>
      <c r="O75" s="32"/>
      <c r="P75" s="22"/>
      <c r="Q75" s="31"/>
      <c r="R75" s="22"/>
      <c r="S75" s="22"/>
      <c r="T75" s="31"/>
      <c r="U75" s="31"/>
      <c r="V75" s="31"/>
      <c r="W75" s="31"/>
      <c r="X75" s="31"/>
      <c r="Y75" s="31"/>
      <c r="Z75" s="31"/>
      <c r="AA75" s="31"/>
      <c r="AB75" s="31"/>
      <c r="AC75" s="31"/>
      <c r="AD75" s="31"/>
      <c r="AE75" s="31"/>
      <c r="AF75" s="31"/>
    </row>
    <row r="76" spans="1:32" x14ac:dyDescent="0.25">
      <c r="A76" s="15" t="s">
        <v>186</v>
      </c>
      <c r="B76" s="6" t="s">
        <v>7</v>
      </c>
      <c r="C76" s="1" t="s">
        <v>527</v>
      </c>
      <c r="D76" s="6" t="s">
        <v>527</v>
      </c>
      <c r="E76" s="22" t="s">
        <v>6</v>
      </c>
      <c r="F76" s="1" t="s">
        <v>6</v>
      </c>
      <c r="G76" s="1">
        <v>40800</v>
      </c>
      <c r="H76" s="1" t="s">
        <v>382</v>
      </c>
      <c r="I76" s="1">
        <v>0</v>
      </c>
      <c r="J76" s="1">
        <v>130000</v>
      </c>
      <c r="K76" s="1">
        <v>135500</v>
      </c>
      <c r="L76" s="1">
        <v>37500</v>
      </c>
      <c r="M76" s="1">
        <v>8650</v>
      </c>
      <c r="N76" s="1">
        <v>189500</v>
      </c>
      <c r="O76" s="55">
        <f>SUBTOTAL(9,G76:N76)</f>
        <v>541950</v>
      </c>
      <c r="P76" s="13">
        <v>551320</v>
      </c>
      <c r="Q76" s="31">
        <f>SUBTOTAL(9,G76:J76)</f>
        <v>170800</v>
      </c>
      <c r="R76" s="1">
        <v>544367</v>
      </c>
      <c r="S76" s="39">
        <v>311000</v>
      </c>
      <c r="T76" s="31">
        <v>61000</v>
      </c>
      <c r="U76" s="31">
        <v>2000</v>
      </c>
      <c r="V76" s="31">
        <v>13000</v>
      </c>
      <c r="W76" s="31">
        <v>64000</v>
      </c>
      <c r="X76" s="31">
        <v>149000</v>
      </c>
      <c r="Y76" s="31">
        <v>21000</v>
      </c>
      <c r="Z76" s="31">
        <v>51000</v>
      </c>
      <c r="AA76" s="31">
        <v>164000</v>
      </c>
      <c r="AB76" s="55">
        <f>SUBTOTAL(9,T76:AA76)</f>
        <v>525000</v>
      </c>
      <c r="AC76" s="31">
        <v>525000</v>
      </c>
      <c r="AD76" s="31">
        <f>SUBTOTAL(9,T76:W76)</f>
        <v>140000</v>
      </c>
      <c r="AE76" s="31">
        <v>520000</v>
      </c>
      <c r="AF76" s="31">
        <v>272000</v>
      </c>
    </row>
    <row r="77" spans="1:32" x14ac:dyDescent="0.25">
      <c r="A77" s="11" t="s">
        <v>43</v>
      </c>
      <c r="B77" s="6" t="s">
        <v>7</v>
      </c>
      <c r="C77" s="1" t="s">
        <v>526</v>
      </c>
      <c r="D77" s="6" t="s">
        <v>526</v>
      </c>
      <c r="E77" s="22" t="s">
        <v>6</v>
      </c>
      <c r="F77" s="1" t="s">
        <v>6</v>
      </c>
      <c r="G77" s="1">
        <v>16536</v>
      </c>
      <c r="H77" s="1">
        <v>5203</v>
      </c>
      <c r="I77" s="1">
        <v>0</v>
      </c>
      <c r="J77" s="1">
        <v>26534</v>
      </c>
      <c r="K77" s="1">
        <v>37897</v>
      </c>
      <c r="L77" s="1">
        <v>323</v>
      </c>
      <c r="M77" s="1">
        <v>1045</v>
      </c>
      <c r="N77" s="1">
        <v>32819</v>
      </c>
      <c r="O77" s="55">
        <f>SUBTOTAL(9,G77:N77)</f>
        <v>120357</v>
      </c>
      <c r="P77" s="13">
        <v>120357</v>
      </c>
      <c r="Q77" s="31">
        <f>SUBTOTAL(9,G77:J77)</f>
        <v>48273</v>
      </c>
      <c r="R77" s="1">
        <v>121665</v>
      </c>
      <c r="S77" s="1">
        <v>61014</v>
      </c>
      <c r="T77" s="31">
        <v>20640</v>
      </c>
      <c r="U77" s="31">
        <v>6637</v>
      </c>
      <c r="V77" s="31">
        <v>0</v>
      </c>
      <c r="W77" s="31">
        <v>20694</v>
      </c>
      <c r="X77" s="31">
        <v>37897</v>
      </c>
      <c r="Y77" s="31">
        <v>739</v>
      </c>
      <c r="Z77" s="31">
        <v>200</v>
      </c>
      <c r="AA77" s="31">
        <v>13200</v>
      </c>
      <c r="AB77" s="55">
        <f>SUBTOTAL(9,T77:AA77)</f>
        <v>100007</v>
      </c>
      <c r="AC77" s="31">
        <v>100007</v>
      </c>
      <c r="AD77" s="31">
        <f>SUBTOTAL(9,T77:W77)</f>
        <v>47971</v>
      </c>
      <c r="AE77" s="31">
        <v>90938</v>
      </c>
      <c r="AF77" s="31">
        <v>58.036999999999999</v>
      </c>
    </row>
    <row r="78" spans="1:32" x14ac:dyDescent="0.25">
      <c r="A78" s="15" t="s">
        <v>152</v>
      </c>
      <c r="B78" s="6" t="s">
        <v>7</v>
      </c>
      <c r="C78" s="1" t="s">
        <v>526</v>
      </c>
      <c r="D78" s="6" t="s">
        <v>526</v>
      </c>
      <c r="E78" s="22" t="s">
        <v>6</v>
      </c>
      <c r="F78" s="1" t="s">
        <v>6</v>
      </c>
      <c r="G78" s="41">
        <v>3724</v>
      </c>
      <c r="H78" s="41">
        <v>6519</v>
      </c>
      <c r="I78" s="1" t="s">
        <v>75</v>
      </c>
      <c r="J78" s="41">
        <v>1218</v>
      </c>
      <c r="K78" s="41">
        <v>3600</v>
      </c>
      <c r="L78" s="41">
        <v>1104</v>
      </c>
      <c r="M78" s="41">
        <v>0</v>
      </c>
      <c r="N78" s="41">
        <v>875</v>
      </c>
      <c r="O78" s="55">
        <f>SUBTOTAL(9,G78:N78)</f>
        <v>17040</v>
      </c>
      <c r="P78" s="58">
        <v>17040</v>
      </c>
      <c r="Q78" s="31">
        <f>SUBTOTAL(9,G78:J78)</f>
        <v>11461</v>
      </c>
      <c r="R78" s="41">
        <v>19547</v>
      </c>
      <c r="S78" s="41">
        <v>0</v>
      </c>
      <c r="T78" s="31">
        <v>3866</v>
      </c>
      <c r="U78" s="31">
        <v>6419.22</v>
      </c>
      <c r="V78" s="31">
        <v>0</v>
      </c>
      <c r="W78" s="31">
        <v>900</v>
      </c>
      <c r="X78" s="31">
        <v>1500</v>
      </c>
      <c r="Y78" s="31">
        <v>918.29</v>
      </c>
      <c r="Z78" s="31">
        <v>550</v>
      </c>
      <c r="AA78" s="31" t="s">
        <v>75</v>
      </c>
      <c r="AB78" s="55">
        <f>SUBTOTAL(9,T78:AA78)</f>
        <v>14153.510000000002</v>
      </c>
      <c r="AC78" s="31">
        <v>14153.51</v>
      </c>
      <c r="AD78" s="31">
        <f>SUBTOTAL(9,T78:W78)</f>
        <v>11185.220000000001</v>
      </c>
      <c r="AE78" s="31">
        <v>12237.46</v>
      </c>
      <c r="AF78" s="31">
        <v>0</v>
      </c>
    </row>
    <row r="79" spans="1:32" hidden="1" x14ac:dyDescent="0.25">
      <c r="A79" s="11" t="s">
        <v>123</v>
      </c>
      <c r="B79" s="6" t="s">
        <v>7</v>
      </c>
      <c r="C79" s="1"/>
      <c r="D79" s="6"/>
      <c r="E79" s="22"/>
      <c r="F79" s="22" t="s">
        <v>295</v>
      </c>
      <c r="G79" s="22"/>
      <c r="H79" s="22"/>
      <c r="I79" s="22"/>
      <c r="J79" s="22"/>
      <c r="K79" s="22"/>
      <c r="L79" s="22"/>
      <c r="M79" s="22"/>
      <c r="N79" s="22"/>
      <c r="O79" s="32"/>
      <c r="P79" s="22"/>
      <c r="Q79" s="31"/>
      <c r="R79" s="22"/>
      <c r="S79" s="22"/>
      <c r="T79" s="31"/>
      <c r="U79" s="31"/>
      <c r="V79" s="31"/>
      <c r="W79" s="31"/>
      <c r="X79" s="31"/>
      <c r="Y79" s="31"/>
      <c r="Z79" s="31"/>
      <c r="AA79" s="31"/>
      <c r="AB79" s="31"/>
      <c r="AC79" s="31"/>
      <c r="AD79" s="31"/>
      <c r="AE79" s="31"/>
      <c r="AF79" s="31"/>
    </row>
    <row r="80" spans="1:32" x14ac:dyDescent="0.25">
      <c r="A80" s="11" t="s">
        <v>124</v>
      </c>
      <c r="B80" s="6" t="s">
        <v>7</v>
      </c>
      <c r="C80" s="1" t="s">
        <v>526</v>
      </c>
      <c r="D80" s="6" t="s">
        <v>526</v>
      </c>
      <c r="E80" s="22" t="s">
        <v>6</v>
      </c>
      <c r="F80" s="1" t="s">
        <v>221</v>
      </c>
      <c r="G80" s="1">
        <v>0</v>
      </c>
      <c r="H80" s="1">
        <v>0</v>
      </c>
      <c r="I80" s="1">
        <v>0</v>
      </c>
      <c r="J80" s="41">
        <v>2895</v>
      </c>
      <c r="K80" s="41">
        <v>7499</v>
      </c>
      <c r="L80" s="41">
        <v>3960</v>
      </c>
      <c r="M80" s="41">
        <v>2235</v>
      </c>
      <c r="N80" s="1">
        <v>0</v>
      </c>
      <c r="O80" s="55">
        <f t="shared" ref="O80:O89" si="3">SUBTOTAL(9,G80:N80)</f>
        <v>16589</v>
      </c>
      <c r="P80" s="58">
        <v>16589</v>
      </c>
      <c r="Q80" s="31">
        <f>SUBTOTAL(9,G80:J80)</f>
        <v>2895</v>
      </c>
      <c r="R80" s="1" t="s">
        <v>266</v>
      </c>
      <c r="S80" s="1" t="s">
        <v>266</v>
      </c>
      <c r="T80" s="31">
        <v>0</v>
      </c>
      <c r="U80" s="31" t="s">
        <v>266</v>
      </c>
      <c r="V80" s="31">
        <v>0</v>
      </c>
      <c r="W80" s="31" t="s">
        <v>266</v>
      </c>
      <c r="X80" s="31">
        <v>7100</v>
      </c>
      <c r="Y80" s="31">
        <v>3149</v>
      </c>
      <c r="Z80" s="31" t="s">
        <v>266</v>
      </c>
      <c r="AA80" s="31" t="s">
        <v>266</v>
      </c>
      <c r="AB80" s="55">
        <f>SUBTOTAL(9,T80:AA80)</f>
        <v>10249</v>
      </c>
      <c r="AC80" s="31">
        <v>15127</v>
      </c>
      <c r="AD80" s="31">
        <f>SUBTOTAL(9,T80:W80)</f>
        <v>0</v>
      </c>
      <c r="AE80" s="31">
        <v>16371</v>
      </c>
      <c r="AF80" s="31">
        <v>0</v>
      </c>
    </row>
    <row r="81" spans="1:32" hidden="1" x14ac:dyDescent="0.25">
      <c r="A81" s="11" t="s">
        <v>125</v>
      </c>
      <c r="B81" s="6" t="s">
        <v>7</v>
      </c>
      <c r="C81" s="1" t="s">
        <v>527</v>
      </c>
      <c r="D81" s="6" t="s">
        <v>527</v>
      </c>
      <c r="E81" s="22" t="s">
        <v>214</v>
      </c>
      <c r="F81" s="1" t="s">
        <v>221</v>
      </c>
      <c r="G81" s="1">
        <v>0</v>
      </c>
      <c r="H81" s="30">
        <v>0.1</v>
      </c>
      <c r="I81" s="1">
        <v>0</v>
      </c>
      <c r="J81" s="30">
        <v>0.1</v>
      </c>
      <c r="K81" s="30">
        <v>0.75</v>
      </c>
      <c r="L81" s="47">
        <v>7.4999999999999997E-2</v>
      </c>
      <c r="M81" s="1" t="s">
        <v>567</v>
      </c>
      <c r="N81" s="1" t="s">
        <v>301</v>
      </c>
      <c r="O81" s="32">
        <f t="shared" si="3"/>
        <v>0</v>
      </c>
      <c r="P81" s="1" t="s">
        <v>568</v>
      </c>
      <c r="Q81" s="31">
        <f>SUBTOTAL(9,G81:J81)</f>
        <v>0</v>
      </c>
      <c r="R81" s="1" t="s">
        <v>569</v>
      </c>
      <c r="S81" s="1" t="s">
        <v>75</v>
      </c>
      <c r="T81" s="31">
        <v>0</v>
      </c>
      <c r="U81" s="31">
        <v>4000</v>
      </c>
      <c r="V81" s="31">
        <v>0</v>
      </c>
      <c r="W81" s="31">
        <v>47000</v>
      </c>
      <c r="X81" s="31">
        <v>131500</v>
      </c>
      <c r="Y81" s="31">
        <v>9000</v>
      </c>
      <c r="Z81" s="31">
        <v>1900</v>
      </c>
      <c r="AA81" s="31">
        <v>27600</v>
      </c>
      <c r="AB81" s="55">
        <f>SUBTOTAL(9,T81:AA81)</f>
        <v>0</v>
      </c>
      <c r="AC81" s="31">
        <v>219100</v>
      </c>
      <c r="AD81" s="31">
        <f>SUBTOTAL(9,T81:W81)</f>
        <v>0</v>
      </c>
      <c r="AE81" s="31">
        <v>244000</v>
      </c>
      <c r="AF81" s="31">
        <v>121322</v>
      </c>
    </row>
    <row r="82" spans="1:32" x14ac:dyDescent="0.25">
      <c r="A82" s="23" t="s">
        <v>187</v>
      </c>
      <c r="B82" s="6" t="s">
        <v>7</v>
      </c>
      <c r="C82" s="1" t="s">
        <v>526</v>
      </c>
      <c r="D82" s="6" t="s">
        <v>526</v>
      </c>
      <c r="E82" s="22" t="s">
        <v>6</v>
      </c>
      <c r="F82" s="1" t="s">
        <v>221</v>
      </c>
      <c r="G82" s="1">
        <v>0</v>
      </c>
      <c r="H82" s="41">
        <v>1660</v>
      </c>
      <c r="I82" s="41">
        <v>0</v>
      </c>
      <c r="J82" s="1" t="s">
        <v>266</v>
      </c>
      <c r="K82" s="1" t="s">
        <v>266</v>
      </c>
      <c r="L82" s="41">
        <v>3979</v>
      </c>
      <c r="M82" s="41">
        <v>4780</v>
      </c>
      <c r="N82" s="1" t="s">
        <v>266</v>
      </c>
      <c r="O82" s="55">
        <f t="shared" si="3"/>
        <v>10419</v>
      </c>
      <c r="P82" s="58">
        <v>10714</v>
      </c>
      <c r="Q82" s="31">
        <f>SUBTOTAL(9,G82:J82)</f>
        <v>1660</v>
      </c>
      <c r="R82" s="41">
        <v>10623</v>
      </c>
      <c r="S82" s="1">
        <v>0</v>
      </c>
      <c r="T82" s="31">
        <v>0</v>
      </c>
      <c r="U82" s="31">
        <v>2200</v>
      </c>
      <c r="V82" s="31" t="s">
        <v>75</v>
      </c>
      <c r="W82" s="31" t="s">
        <v>75</v>
      </c>
      <c r="X82" s="31" t="s">
        <v>75</v>
      </c>
      <c r="Y82" s="31">
        <v>4450</v>
      </c>
      <c r="Z82" s="31">
        <v>5620</v>
      </c>
      <c r="AA82" s="31">
        <v>1000</v>
      </c>
      <c r="AB82" s="55">
        <f>SUBTOTAL(9,T82:AA82)</f>
        <v>13270</v>
      </c>
      <c r="AC82" s="31">
        <v>13270</v>
      </c>
      <c r="AD82" s="31">
        <f>SUBTOTAL(9,T82:W82)</f>
        <v>2200</v>
      </c>
      <c r="AE82" s="31">
        <v>15789</v>
      </c>
      <c r="AF82" s="31">
        <v>0</v>
      </c>
    </row>
    <row r="83" spans="1:32" x14ac:dyDescent="0.25">
      <c r="A83" s="15" t="s">
        <v>188</v>
      </c>
      <c r="B83" s="6" t="s">
        <v>7</v>
      </c>
      <c r="C83" s="1" t="s">
        <v>526</v>
      </c>
      <c r="D83" s="6" t="s">
        <v>526</v>
      </c>
      <c r="E83" s="22" t="s">
        <v>6</v>
      </c>
      <c r="F83" s="1" t="s">
        <v>221</v>
      </c>
      <c r="G83" s="1" t="s">
        <v>75</v>
      </c>
      <c r="H83" s="1">
        <v>353.48</v>
      </c>
      <c r="I83" s="1" t="s">
        <v>75</v>
      </c>
      <c r="J83" s="1" t="s">
        <v>75</v>
      </c>
      <c r="K83" s="1">
        <v>3000</v>
      </c>
      <c r="L83" s="1">
        <v>300.62</v>
      </c>
      <c r="M83" s="1" t="s">
        <v>75</v>
      </c>
      <c r="N83" s="1">
        <v>239.66</v>
      </c>
      <c r="O83" s="55">
        <f t="shared" si="3"/>
        <v>3893.7599999999998</v>
      </c>
      <c r="P83" s="13">
        <v>3893.76</v>
      </c>
      <c r="Q83" s="31">
        <f>SUBTOTAL(9,G83:J83)</f>
        <v>353.48</v>
      </c>
      <c r="R83" s="1">
        <v>3696.84</v>
      </c>
      <c r="S83" s="1">
        <v>0</v>
      </c>
      <c r="T83" s="31" t="s">
        <v>75</v>
      </c>
      <c r="U83" s="31" t="s">
        <v>75</v>
      </c>
      <c r="V83" s="31" t="s">
        <v>75</v>
      </c>
      <c r="W83" s="31">
        <v>61.2</v>
      </c>
      <c r="X83" s="31">
        <v>2900</v>
      </c>
      <c r="Y83" s="31">
        <v>359.97</v>
      </c>
      <c r="Z83" s="31">
        <v>131.69999999999999</v>
      </c>
      <c r="AA83" s="31">
        <v>519.46</v>
      </c>
      <c r="AB83" s="55">
        <f>SUBTOTAL(9,T83:AA83)</f>
        <v>3972.33</v>
      </c>
      <c r="AC83" s="31">
        <v>3972.33</v>
      </c>
      <c r="AD83" s="31">
        <f>SUBTOTAL(9,T83:W83)</f>
        <v>61.2</v>
      </c>
      <c r="AE83" s="31">
        <v>3812.35</v>
      </c>
      <c r="AF83" s="31">
        <v>0</v>
      </c>
    </row>
    <row r="84" spans="1:32" x14ac:dyDescent="0.25">
      <c r="A84" s="15" t="s">
        <v>189</v>
      </c>
      <c r="B84" s="6" t="s">
        <v>7</v>
      </c>
      <c r="C84" s="1" t="s">
        <v>526</v>
      </c>
      <c r="D84" s="6" t="s">
        <v>526</v>
      </c>
      <c r="E84" s="22" t="s">
        <v>214</v>
      </c>
      <c r="F84" s="1" t="s">
        <v>221</v>
      </c>
      <c r="G84" s="42">
        <v>0</v>
      </c>
      <c r="H84" s="42">
        <v>824.99</v>
      </c>
      <c r="I84" s="42">
        <v>0</v>
      </c>
      <c r="J84" s="42">
        <v>90</v>
      </c>
      <c r="K84" s="42">
        <v>0</v>
      </c>
      <c r="L84" s="42">
        <v>10211.32</v>
      </c>
      <c r="M84" s="42">
        <v>8664.73</v>
      </c>
      <c r="N84" s="42">
        <v>200</v>
      </c>
      <c r="O84" s="55">
        <f t="shared" si="3"/>
        <v>19991.04</v>
      </c>
      <c r="P84" s="56">
        <v>19991.04</v>
      </c>
      <c r="Q84" s="31">
        <f>SUBTOTAL(9,G84:J84)</f>
        <v>914.99</v>
      </c>
      <c r="R84" s="42">
        <v>14508.71</v>
      </c>
      <c r="S84" s="42">
        <v>417.6</v>
      </c>
      <c r="T84" s="31">
        <v>0</v>
      </c>
      <c r="U84" s="31">
        <v>760.48</v>
      </c>
      <c r="V84" s="31">
        <v>0</v>
      </c>
      <c r="W84" s="31">
        <v>394.5</v>
      </c>
      <c r="X84" s="31">
        <v>0</v>
      </c>
      <c r="Y84" s="31">
        <v>3146.29</v>
      </c>
      <c r="Z84" s="31">
        <v>2160.21</v>
      </c>
      <c r="AA84" s="31">
        <v>1140.3499999999999</v>
      </c>
      <c r="AB84" s="55">
        <f>SUBTOTAL(9,T84:AA84)</f>
        <v>7601.83</v>
      </c>
      <c r="AC84" s="31">
        <v>7601.83</v>
      </c>
      <c r="AD84" s="31">
        <f>SUBTOTAL(9,T84:W84)</f>
        <v>1154.98</v>
      </c>
      <c r="AE84" s="31">
        <v>19677.580000000002</v>
      </c>
      <c r="AF84" s="31">
        <v>0</v>
      </c>
    </row>
    <row r="85" spans="1:32" hidden="1" x14ac:dyDescent="0.25">
      <c r="A85" s="15" t="s">
        <v>190</v>
      </c>
      <c r="B85" s="6" t="s">
        <v>7</v>
      </c>
      <c r="C85" s="1"/>
      <c r="D85" s="6" t="s">
        <v>526</v>
      </c>
      <c r="E85" s="22" t="s">
        <v>214</v>
      </c>
      <c r="F85" s="1" t="s">
        <v>221</v>
      </c>
      <c r="G85" s="1" t="s">
        <v>75</v>
      </c>
      <c r="H85" s="38">
        <v>1280</v>
      </c>
      <c r="I85" s="1">
        <v>0</v>
      </c>
      <c r="J85" s="1">
        <v>0</v>
      </c>
      <c r="K85" s="38">
        <v>2000</v>
      </c>
      <c r="L85" s="46">
        <v>685.8</v>
      </c>
      <c r="M85" s="46">
        <v>1275</v>
      </c>
      <c r="N85" s="38">
        <v>3440</v>
      </c>
      <c r="O85" s="55">
        <f t="shared" si="3"/>
        <v>0</v>
      </c>
      <c r="P85" s="60">
        <v>8680</v>
      </c>
      <c r="Q85" s="31"/>
      <c r="R85" s="38">
        <v>3600</v>
      </c>
      <c r="S85" s="1">
        <v>0</v>
      </c>
      <c r="T85" s="31"/>
      <c r="U85" s="31"/>
      <c r="V85" s="31"/>
      <c r="W85" s="31"/>
      <c r="X85" s="31"/>
      <c r="Y85" s="31"/>
      <c r="Z85" s="31"/>
      <c r="AA85" s="31"/>
      <c r="AB85" s="31"/>
      <c r="AC85" s="31"/>
      <c r="AD85" s="31"/>
      <c r="AE85" s="31"/>
      <c r="AF85" s="31"/>
    </row>
    <row r="86" spans="1:32" x14ac:dyDescent="0.25">
      <c r="A86" s="15" t="s">
        <v>191</v>
      </c>
      <c r="B86" s="6" t="s">
        <v>7</v>
      </c>
      <c r="C86" s="1" t="s">
        <v>526</v>
      </c>
      <c r="D86" s="6" t="s">
        <v>526</v>
      </c>
      <c r="E86" s="22" t="s">
        <v>6</v>
      </c>
      <c r="F86" s="1" t="s">
        <v>6</v>
      </c>
      <c r="G86" s="41">
        <v>785</v>
      </c>
      <c r="H86" s="41">
        <v>527</v>
      </c>
      <c r="I86" s="1">
        <v>0</v>
      </c>
      <c r="J86" s="41">
        <v>891</v>
      </c>
      <c r="K86" s="1">
        <v>0</v>
      </c>
      <c r="L86" s="41">
        <v>571</v>
      </c>
      <c r="M86" s="41">
        <v>1063</v>
      </c>
      <c r="N86" s="1">
        <v>0</v>
      </c>
      <c r="O86" s="55">
        <f t="shared" si="3"/>
        <v>3837</v>
      </c>
      <c r="P86" s="58">
        <v>3837</v>
      </c>
      <c r="Q86" s="31">
        <f>SUBTOTAL(9,G86:J86)</f>
        <v>2203</v>
      </c>
      <c r="R86" s="41">
        <v>3933</v>
      </c>
      <c r="S86" s="1">
        <v>0</v>
      </c>
      <c r="T86" s="31">
        <v>923</v>
      </c>
      <c r="U86" s="31">
        <v>584</v>
      </c>
      <c r="V86" s="31">
        <v>0</v>
      </c>
      <c r="W86" s="31">
        <v>1057</v>
      </c>
      <c r="X86" s="31">
        <v>0</v>
      </c>
      <c r="Y86" s="31">
        <v>440</v>
      </c>
      <c r="Z86" s="31">
        <v>1078</v>
      </c>
      <c r="AA86" s="31">
        <v>350</v>
      </c>
      <c r="AB86" s="55">
        <f>SUBTOTAL(9,T86:AA86)</f>
        <v>4432</v>
      </c>
      <c r="AC86" s="31">
        <v>4432</v>
      </c>
      <c r="AD86" s="31">
        <f>SUBTOTAL(9,T86:W86)</f>
        <v>2564</v>
      </c>
      <c r="AE86" s="31">
        <v>3267</v>
      </c>
      <c r="AF86" s="31">
        <v>0</v>
      </c>
    </row>
    <row r="87" spans="1:32" x14ac:dyDescent="0.25">
      <c r="A87" s="15" t="s">
        <v>192</v>
      </c>
      <c r="B87" s="6" t="s">
        <v>7</v>
      </c>
      <c r="C87" s="1" t="s">
        <v>526</v>
      </c>
      <c r="D87" s="6" t="s">
        <v>526</v>
      </c>
      <c r="E87" s="22" t="s">
        <v>6</v>
      </c>
      <c r="F87" s="1" t="s">
        <v>6</v>
      </c>
      <c r="G87" s="41">
        <v>7350</v>
      </c>
      <c r="H87" s="42">
        <v>1627.95</v>
      </c>
      <c r="I87" s="1" t="s">
        <v>266</v>
      </c>
      <c r="J87" s="1">
        <v>0</v>
      </c>
      <c r="K87" s="1">
        <v>0</v>
      </c>
      <c r="L87" s="1">
        <v>404.91</v>
      </c>
      <c r="M87" s="1">
        <v>190.17</v>
      </c>
      <c r="N87" s="1">
        <v>0</v>
      </c>
      <c r="O87" s="55">
        <f t="shared" si="3"/>
        <v>9573.0300000000007</v>
      </c>
      <c r="P87" s="56">
        <v>9573.0300000000007</v>
      </c>
      <c r="Q87" s="31">
        <f>SUBTOTAL(9,G87:J87)</f>
        <v>8977.9500000000007</v>
      </c>
      <c r="R87" s="42">
        <v>15243.03</v>
      </c>
      <c r="S87" s="1">
        <v>0</v>
      </c>
      <c r="T87" s="31">
        <v>7190</v>
      </c>
      <c r="U87" s="31">
        <v>631.67999999999995</v>
      </c>
      <c r="V87" s="31">
        <v>0</v>
      </c>
      <c r="W87" s="31">
        <v>0</v>
      </c>
      <c r="X87" s="31">
        <v>0</v>
      </c>
      <c r="Y87" s="31">
        <v>401.03</v>
      </c>
      <c r="Z87" s="31">
        <v>257.42</v>
      </c>
      <c r="AA87" s="31">
        <v>0</v>
      </c>
      <c r="AB87" s="55">
        <f>SUBTOTAL(9,T87:AA87)</f>
        <v>8480.130000000001</v>
      </c>
      <c r="AC87" s="31">
        <v>8485.1299999999992</v>
      </c>
      <c r="AD87" s="31">
        <f>SUBTOTAL(9,T87:W87)</f>
        <v>7821.68</v>
      </c>
      <c r="AE87" s="31">
        <v>7671.76</v>
      </c>
      <c r="AF87" s="31">
        <v>0</v>
      </c>
    </row>
    <row r="88" spans="1:32" hidden="1" x14ac:dyDescent="0.25">
      <c r="A88" s="7" t="s">
        <v>153</v>
      </c>
      <c r="B88" s="6" t="s">
        <v>7</v>
      </c>
      <c r="C88" s="1"/>
      <c r="D88" s="6" t="s">
        <v>527</v>
      </c>
      <c r="E88" s="22" t="s">
        <v>214</v>
      </c>
      <c r="F88" s="1" t="s">
        <v>6</v>
      </c>
      <c r="G88" s="1">
        <v>10000</v>
      </c>
      <c r="H88" s="1">
        <v>4500</v>
      </c>
      <c r="I88" s="1">
        <v>6700</v>
      </c>
      <c r="J88" s="1" t="s">
        <v>75</v>
      </c>
      <c r="K88" s="39">
        <v>12566</v>
      </c>
      <c r="L88" s="39">
        <v>60500</v>
      </c>
      <c r="M88" s="1" t="s">
        <v>75</v>
      </c>
      <c r="N88" s="39">
        <v>30000</v>
      </c>
      <c r="O88" s="55">
        <f t="shared" si="3"/>
        <v>0</v>
      </c>
      <c r="P88" s="57">
        <v>109061</v>
      </c>
      <c r="Q88" s="31"/>
      <c r="R88" s="39">
        <v>82747</v>
      </c>
      <c r="S88" s="39">
        <v>44153</v>
      </c>
      <c r="T88" s="31"/>
      <c r="U88" s="31"/>
      <c r="V88" s="31"/>
      <c r="W88" s="31"/>
      <c r="X88" s="31"/>
      <c r="Y88" s="31"/>
      <c r="Z88" s="31"/>
      <c r="AA88" s="31"/>
      <c r="AB88" s="31"/>
      <c r="AC88" s="31"/>
      <c r="AD88" s="31"/>
      <c r="AE88" s="31"/>
      <c r="AF88" s="31"/>
    </row>
    <row r="89" spans="1:32" hidden="1" x14ac:dyDescent="0.25">
      <c r="A89" s="11" t="s">
        <v>126</v>
      </c>
      <c r="B89" s="6" t="s">
        <v>7</v>
      </c>
      <c r="C89" s="1" t="s">
        <v>526</v>
      </c>
      <c r="D89" s="6" t="s">
        <v>526</v>
      </c>
      <c r="E89" s="22" t="s">
        <v>214</v>
      </c>
      <c r="F89" s="1" t="s">
        <v>221</v>
      </c>
      <c r="G89" s="1">
        <v>0</v>
      </c>
      <c r="H89" s="1">
        <v>0</v>
      </c>
      <c r="I89" s="1">
        <v>0</v>
      </c>
      <c r="J89" s="39">
        <v>10500</v>
      </c>
      <c r="K89" s="39">
        <v>40084</v>
      </c>
      <c r="L89" s="1">
        <v>250</v>
      </c>
      <c r="M89" s="1" t="s">
        <v>75</v>
      </c>
      <c r="N89" s="1" t="s">
        <v>75</v>
      </c>
      <c r="O89" s="32">
        <f t="shared" si="3"/>
        <v>0</v>
      </c>
      <c r="P89" s="39">
        <v>65512</v>
      </c>
      <c r="Q89" s="31">
        <f>SUBTOTAL(9,G89:J89)</f>
        <v>0</v>
      </c>
      <c r="R89" s="39">
        <v>76012</v>
      </c>
      <c r="S89" s="39">
        <v>54862</v>
      </c>
      <c r="T89" s="31">
        <v>0</v>
      </c>
      <c r="U89" s="31">
        <v>1393</v>
      </c>
      <c r="V89" s="31">
        <v>0</v>
      </c>
      <c r="W89" s="31">
        <v>11296</v>
      </c>
      <c r="X89" s="31">
        <v>67306</v>
      </c>
      <c r="Y89" s="31">
        <v>165</v>
      </c>
      <c r="Z89" s="31" t="s">
        <v>75</v>
      </c>
      <c r="AA89" s="31">
        <v>40084</v>
      </c>
      <c r="AB89" s="55">
        <f>SUBTOTAL(9,T89:AA89)</f>
        <v>0</v>
      </c>
      <c r="AC89" s="31">
        <v>52938</v>
      </c>
      <c r="AD89" s="31">
        <f>SUBTOTAL(9,T89:W89)</f>
        <v>0</v>
      </c>
      <c r="AE89" s="31">
        <v>135101</v>
      </c>
      <c r="AF89" s="31">
        <v>56670</v>
      </c>
    </row>
    <row r="90" spans="1:32" hidden="1" x14ac:dyDescent="0.25">
      <c r="A90" s="10" t="s">
        <v>89</v>
      </c>
      <c r="B90" s="6" t="s">
        <v>7</v>
      </c>
      <c r="C90" s="1"/>
      <c r="D90" s="6"/>
      <c r="E90" s="22"/>
      <c r="F90" s="22" t="s">
        <v>295</v>
      </c>
      <c r="G90" s="22"/>
      <c r="H90" s="22"/>
      <c r="I90" s="22"/>
      <c r="J90" s="22"/>
      <c r="K90" s="22"/>
      <c r="L90" s="22"/>
      <c r="M90" s="22"/>
      <c r="N90" s="22"/>
      <c r="O90" s="32"/>
      <c r="P90" s="22"/>
      <c r="Q90" s="31"/>
      <c r="R90" s="22"/>
      <c r="S90" s="22"/>
      <c r="T90" s="31"/>
      <c r="U90" s="31"/>
      <c r="V90" s="31"/>
      <c r="W90" s="31"/>
      <c r="X90" s="31"/>
      <c r="Y90" s="31"/>
      <c r="Z90" s="31"/>
      <c r="AA90" s="31"/>
      <c r="AB90" s="31"/>
      <c r="AC90" s="31"/>
      <c r="AD90" s="31"/>
      <c r="AE90" s="31"/>
      <c r="AF90" s="31"/>
    </row>
    <row r="91" spans="1:32" x14ac:dyDescent="0.25">
      <c r="A91" s="10" t="s">
        <v>90</v>
      </c>
      <c r="B91" s="6" t="s">
        <v>7</v>
      </c>
      <c r="C91" s="1" t="s">
        <v>526</v>
      </c>
      <c r="D91" s="6" t="s">
        <v>526</v>
      </c>
      <c r="E91" s="22" t="s">
        <v>214</v>
      </c>
      <c r="F91" s="1" t="s">
        <v>6</v>
      </c>
      <c r="G91" s="1">
        <v>1038</v>
      </c>
      <c r="H91" s="1">
        <v>891</v>
      </c>
      <c r="I91" s="1">
        <v>0</v>
      </c>
      <c r="J91" s="1">
        <v>1748</v>
      </c>
      <c r="K91" s="1">
        <v>0</v>
      </c>
      <c r="L91" s="1">
        <v>2908</v>
      </c>
      <c r="M91" s="1">
        <v>2251</v>
      </c>
      <c r="N91" s="1">
        <v>500</v>
      </c>
      <c r="O91" s="55">
        <f>SUBTOTAL(9,G91:N91)</f>
        <v>9336</v>
      </c>
      <c r="P91" s="13">
        <v>9336</v>
      </c>
      <c r="Q91" s="31">
        <f>SUBTOTAL(9,G91:J91)</f>
        <v>3677</v>
      </c>
      <c r="R91" s="1">
        <v>8083</v>
      </c>
      <c r="S91" s="1">
        <v>0</v>
      </c>
      <c r="T91" s="31">
        <v>1157</v>
      </c>
      <c r="U91" s="31">
        <v>926</v>
      </c>
      <c r="V91" s="31" t="s">
        <v>266</v>
      </c>
      <c r="W91" s="31">
        <v>407</v>
      </c>
      <c r="X91" s="31">
        <v>0</v>
      </c>
      <c r="Y91" s="31">
        <v>3839</v>
      </c>
      <c r="Z91" s="31">
        <v>878</v>
      </c>
      <c r="AA91" s="31">
        <v>0</v>
      </c>
      <c r="AB91" s="55">
        <f>SUBTOTAL(9,T91:AA91)</f>
        <v>7207</v>
      </c>
      <c r="AC91" s="31">
        <v>7207</v>
      </c>
      <c r="AD91" s="31">
        <f>SUBTOTAL(9,T91:W91)</f>
        <v>2490</v>
      </c>
      <c r="AE91" s="31">
        <v>6884</v>
      </c>
      <c r="AF91" s="31">
        <v>0</v>
      </c>
    </row>
    <row r="92" spans="1:32" x14ac:dyDescent="0.25">
      <c r="A92" s="15" t="s">
        <v>193</v>
      </c>
      <c r="B92" s="6" t="s">
        <v>7</v>
      </c>
      <c r="C92" s="1" t="s">
        <v>527</v>
      </c>
      <c r="D92" s="6" t="s">
        <v>527</v>
      </c>
      <c r="E92" s="22" t="s">
        <v>6</v>
      </c>
      <c r="F92" s="1" t="s">
        <v>6</v>
      </c>
      <c r="G92" s="1">
        <v>35884</v>
      </c>
      <c r="H92" s="1">
        <v>2885</v>
      </c>
      <c r="I92" s="1">
        <v>7979</v>
      </c>
      <c r="J92" s="1">
        <v>16189</v>
      </c>
      <c r="K92" s="1">
        <v>0</v>
      </c>
      <c r="L92" s="1">
        <v>12177</v>
      </c>
      <c r="M92" s="1">
        <v>5285</v>
      </c>
      <c r="N92" s="1">
        <v>2150</v>
      </c>
      <c r="O92" s="55">
        <f>SUBTOTAL(9,G92:N92)</f>
        <v>82549</v>
      </c>
      <c r="P92" s="13">
        <v>82549</v>
      </c>
      <c r="Q92" s="31">
        <f>SUBTOTAL(9,G92:J92)</f>
        <v>62937</v>
      </c>
      <c r="R92" s="1">
        <v>92113</v>
      </c>
      <c r="S92" s="1">
        <v>0</v>
      </c>
      <c r="T92" s="31">
        <v>36210</v>
      </c>
      <c r="U92" s="31">
        <v>9662</v>
      </c>
      <c r="V92" s="31">
        <v>10019</v>
      </c>
      <c r="W92" s="31">
        <v>17901</v>
      </c>
      <c r="X92" s="31">
        <v>0</v>
      </c>
      <c r="Y92" s="31">
        <v>19370</v>
      </c>
      <c r="Z92" s="31">
        <v>7457</v>
      </c>
      <c r="AA92" s="31">
        <v>1840</v>
      </c>
      <c r="AB92" s="55">
        <f>SUBTOTAL(9,T92:AA92)</f>
        <v>102459</v>
      </c>
      <c r="AC92" s="31">
        <v>102459</v>
      </c>
      <c r="AD92" s="31">
        <f>SUBTOTAL(9,T92:W92)</f>
        <v>73792</v>
      </c>
      <c r="AE92" s="31">
        <v>100638</v>
      </c>
      <c r="AF92" s="31">
        <v>0</v>
      </c>
    </row>
    <row r="93" spans="1:32" hidden="1" x14ac:dyDescent="0.25">
      <c r="A93" s="10" t="s">
        <v>127</v>
      </c>
      <c r="B93" s="6" t="s">
        <v>9</v>
      </c>
      <c r="C93" s="1" t="s">
        <v>527</v>
      </c>
      <c r="D93" s="37" t="s">
        <v>526</v>
      </c>
      <c r="E93" s="22" t="s">
        <v>6</v>
      </c>
      <c r="F93" s="1" t="s">
        <v>221</v>
      </c>
      <c r="G93" s="1">
        <v>0</v>
      </c>
      <c r="H93" s="42">
        <v>1080.55</v>
      </c>
      <c r="I93" s="1" t="s">
        <v>301</v>
      </c>
      <c r="J93" s="46">
        <v>1953.24</v>
      </c>
      <c r="K93" s="42">
        <v>65859</v>
      </c>
      <c r="L93" s="42">
        <v>218.73</v>
      </c>
      <c r="M93" s="42">
        <v>1557.71</v>
      </c>
      <c r="N93" s="42">
        <v>44750</v>
      </c>
      <c r="O93" s="55">
        <f>SUBTOTAL(9,G93:N93)</f>
        <v>0</v>
      </c>
      <c r="P93" s="56">
        <v>115419</v>
      </c>
      <c r="Q93" s="35">
        <f>SUBTOTAL(9,G93:J93)</f>
        <v>0</v>
      </c>
      <c r="R93" s="42">
        <v>92744</v>
      </c>
      <c r="S93" s="42">
        <v>56900</v>
      </c>
      <c r="T93" s="31">
        <v>0</v>
      </c>
      <c r="U93" s="31" t="s">
        <v>199</v>
      </c>
      <c r="V93" s="31" t="s">
        <v>266</v>
      </c>
      <c r="W93" s="31">
        <v>1757.61</v>
      </c>
      <c r="X93" s="31">
        <v>64820</v>
      </c>
      <c r="Y93" s="31">
        <v>625.13</v>
      </c>
      <c r="Z93" s="31">
        <v>255</v>
      </c>
      <c r="AA93" s="31" t="s">
        <v>199</v>
      </c>
      <c r="AB93" s="55">
        <f>SUBTOTAL(9,T93:AA93)</f>
        <v>0</v>
      </c>
      <c r="AC93" s="31">
        <v>67457.740000000005</v>
      </c>
      <c r="AD93" s="35">
        <f>SUBTOTAL(9,T93:W96)</f>
        <v>474</v>
      </c>
      <c r="AE93" s="31">
        <v>55012.31</v>
      </c>
      <c r="AF93" s="31">
        <v>39908</v>
      </c>
    </row>
    <row r="94" spans="1:32" hidden="1" x14ac:dyDescent="0.25">
      <c r="A94" s="18" t="s">
        <v>194</v>
      </c>
      <c r="B94" s="6" t="s">
        <v>7</v>
      </c>
      <c r="C94" s="20"/>
      <c r="D94" s="6"/>
      <c r="E94" s="22"/>
      <c r="F94" s="22" t="s">
        <v>214</v>
      </c>
      <c r="G94" s="22"/>
      <c r="H94" s="22"/>
      <c r="I94" s="22"/>
      <c r="J94" s="22"/>
      <c r="K94" s="22"/>
      <c r="L94" s="22"/>
      <c r="M94" s="22"/>
      <c r="N94" s="22"/>
      <c r="O94" s="32"/>
      <c r="P94" s="22"/>
      <c r="Q94" s="31"/>
      <c r="R94" s="22"/>
      <c r="S94" s="22"/>
      <c r="T94" s="31"/>
      <c r="U94" s="31"/>
      <c r="V94" s="31"/>
      <c r="W94" s="31"/>
      <c r="X94" s="31"/>
      <c r="Y94" s="31"/>
      <c r="Z94" s="31"/>
      <c r="AA94" s="31"/>
      <c r="AB94" s="31"/>
      <c r="AC94" s="31"/>
      <c r="AD94" s="31"/>
      <c r="AE94" s="31"/>
      <c r="AF94" s="31"/>
    </row>
    <row r="95" spans="1:32" x14ac:dyDescent="0.25">
      <c r="A95" s="10" t="s">
        <v>91</v>
      </c>
      <c r="B95" s="6" t="s">
        <v>7</v>
      </c>
      <c r="C95" s="1" t="s">
        <v>526</v>
      </c>
      <c r="D95" s="6" t="s">
        <v>526</v>
      </c>
      <c r="E95" s="22" t="s">
        <v>6</v>
      </c>
      <c r="F95" s="1" t="s">
        <v>221</v>
      </c>
      <c r="G95" s="1" t="s">
        <v>75</v>
      </c>
      <c r="H95" s="1" t="s">
        <v>75</v>
      </c>
      <c r="I95" s="1" t="s">
        <v>75</v>
      </c>
      <c r="J95" s="1" t="s">
        <v>75</v>
      </c>
      <c r="K95" s="42">
        <v>200</v>
      </c>
      <c r="L95" s="41">
        <v>1826</v>
      </c>
      <c r="M95" s="38">
        <v>71729</v>
      </c>
      <c r="N95" s="41">
        <v>952</v>
      </c>
      <c r="O95" s="55">
        <f>SUBTOTAL(9,G95:N95)</f>
        <v>74707</v>
      </c>
      <c r="P95" s="58">
        <v>74707</v>
      </c>
      <c r="Q95" s="31">
        <f>SUBTOTAL(9,G95:J95)</f>
        <v>0</v>
      </c>
      <c r="R95" s="1" t="s">
        <v>75</v>
      </c>
      <c r="S95" s="1" t="s">
        <v>75</v>
      </c>
      <c r="T95" s="31">
        <v>0</v>
      </c>
      <c r="U95" s="31">
        <v>474</v>
      </c>
      <c r="V95" s="31">
        <v>0</v>
      </c>
      <c r="W95" s="31">
        <v>0</v>
      </c>
      <c r="X95" s="31">
        <v>212</v>
      </c>
      <c r="Y95" s="31">
        <v>1691</v>
      </c>
      <c r="Z95" s="31">
        <v>1000</v>
      </c>
      <c r="AA95" s="31" t="s">
        <v>75</v>
      </c>
      <c r="AB95" s="55">
        <f>SUBTOTAL(9,T95:AA95)</f>
        <v>3377</v>
      </c>
      <c r="AC95" s="31">
        <v>4265</v>
      </c>
      <c r="AD95" s="31">
        <f>SUBTOTAL(9,T95:W95)</f>
        <v>474</v>
      </c>
      <c r="AE95" s="31">
        <v>5732</v>
      </c>
      <c r="AF95" s="31">
        <v>0</v>
      </c>
    </row>
    <row r="96" spans="1:32" hidden="1" x14ac:dyDescent="0.25">
      <c r="A96" s="7" t="s">
        <v>154</v>
      </c>
      <c r="B96" s="6" t="s">
        <v>7</v>
      </c>
      <c r="C96" s="1"/>
      <c r="D96" s="6"/>
      <c r="E96" s="22"/>
      <c r="F96" s="1" t="s">
        <v>214</v>
      </c>
      <c r="G96" s="1"/>
      <c r="H96" s="1"/>
      <c r="I96" s="1"/>
      <c r="J96" s="1"/>
      <c r="K96" s="1"/>
      <c r="L96" s="1"/>
      <c r="M96" s="1"/>
      <c r="N96" s="1"/>
      <c r="O96" s="32"/>
      <c r="P96" s="1"/>
      <c r="Q96" s="31"/>
      <c r="R96" s="1"/>
      <c r="S96" s="1"/>
      <c r="T96" s="31"/>
      <c r="U96" s="31"/>
      <c r="V96" s="31"/>
      <c r="W96" s="31"/>
      <c r="X96" s="31"/>
      <c r="Y96" s="31"/>
      <c r="Z96" s="31"/>
      <c r="AA96" s="31"/>
      <c r="AB96" s="31"/>
      <c r="AC96" s="31"/>
      <c r="AD96" s="31"/>
      <c r="AE96" s="31"/>
      <c r="AF96" s="31"/>
    </row>
    <row r="97" spans="1:32" hidden="1" x14ac:dyDescent="0.25">
      <c r="A97" s="11" t="s">
        <v>128</v>
      </c>
      <c r="B97" s="6" t="s">
        <v>7</v>
      </c>
      <c r="C97" s="1" t="s">
        <v>526</v>
      </c>
      <c r="D97" s="6" t="s">
        <v>526</v>
      </c>
      <c r="E97" s="22"/>
      <c r="F97" s="1" t="s">
        <v>295</v>
      </c>
      <c r="G97" s="1"/>
      <c r="H97" s="1"/>
      <c r="I97" s="1"/>
      <c r="J97" s="1"/>
      <c r="K97" s="1"/>
      <c r="L97" s="1"/>
      <c r="M97" s="1"/>
      <c r="N97" s="1"/>
      <c r="O97" s="32"/>
      <c r="P97" s="1"/>
      <c r="Q97" s="31"/>
      <c r="R97" s="1"/>
      <c r="S97" s="1"/>
      <c r="T97" s="31">
        <v>0</v>
      </c>
      <c r="U97" s="31" t="s">
        <v>266</v>
      </c>
      <c r="V97" s="31" t="s">
        <v>266</v>
      </c>
      <c r="W97" s="31" t="s">
        <v>266</v>
      </c>
      <c r="X97" s="31" t="s">
        <v>266</v>
      </c>
      <c r="Y97" s="31" t="s">
        <v>266</v>
      </c>
      <c r="Z97" s="31" t="s">
        <v>266</v>
      </c>
      <c r="AA97" s="31" t="s">
        <v>266</v>
      </c>
      <c r="AB97" s="31"/>
      <c r="AC97" s="31" t="s">
        <v>266</v>
      </c>
      <c r="AD97" s="31"/>
      <c r="AE97" s="31" t="s">
        <v>266</v>
      </c>
      <c r="AF97" s="31" t="s">
        <v>266</v>
      </c>
    </row>
    <row r="98" spans="1:32" hidden="1" x14ac:dyDescent="0.25">
      <c r="A98" s="15" t="s">
        <v>155</v>
      </c>
      <c r="B98" s="6" t="s">
        <v>7</v>
      </c>
      <c r="C98" s="1"/>
      <c r="D98" s="6"/>
      <c r="E98" s="22"/>
      <c r="F98" s="22" t="s">
        <v>214</v>
      </c>
      <c r="G98" s="22"/>
      <c r="H98" s="22"/>
      <c r="I98" s="22"/>
      <c r="J98" s="22"/>
      <c r="K98" s="22"/>
      <c r="L98" s="22"/>
      <c r="M98" s="22"/>
      <c r="N98" s="22"/>
      <c r="O98" s="32"/>
      <c r="P98" s="22"/>
      <c r="Q98" s="31"/>
      <c r="R98" s="22"/>
      <c r="S98" s="22"/>
      <c r="T98" s="31"/>
      <c r="U98" s="31"/>
      <c r="V98" s="31"/>
      <c r="W98" s="31"/>
      <c r="X98" s="31"/>
      <c r="Y98" s="31"/>
      <c r="Z98" s="31"/>
      <c r="AA98" s="31"/>
      <c r="AB98" s="31"/>
      <c r="AC98" s="31"/>
      <c r="AD98" s="31"/>
      <c r="AE98" s="31"/>
      <c r="AF98" s="31"/>
    </row>
    <row r="99" spans="1:32" x14ac:dyDescent="0.25">
      <c r="A99" s="10" t="s">
        <v>44</v>
      </c>
      <c r="B99" s="6" t="s">
        <v>7</v>
      </c>
      <c r="C99" s="1" t="s">
        <v>526</v>
      </c>
      <c r="D99" s="6" t="s">
        <v>526</v>
      </c>
      <c r="E99" s="22" t="s">
        <v>6</v>
      </c>
      <c r="F99" s="1" t="s">
        <v>221</v>
      </c>
      <c r="G99" s="1">
        <v>0</v>
      </c>
      <c r="H99" s="1">
        <v>541.66999999999996</v>
      </c>
      <c r="I99" s="1">
        <v>0</v>
      </c>
      <c r="J99" s="1">
        <v>0</v>
      </c>
      <c r="K99" s="1">
        <v>2029.51</v>
      </c>
      <c r="L99" s="1">
        <v>856.5</v>
      </c>
      <c r="M99" s="1">
        <v>0</v>
      </c>
      <c r="N99" s="1">
        <v>0</v>
      </c>
      <c r="O99" s="55">
        <f t="shared" ref="O99:O104" si="4">SUBTOTAL(9,G99:N99)</f>
        <v>3427.68</v>
      </c>
      <c r="P99" s="13">
        <v>3427.68</v>
      </c>
      <c r="Q99" s="31">
        <f>SUBTOTAL(9,G99:J99)</f>
        <v>541.66999999999996</v>
      </c>
      <c r="R99" s="1">
        <v>4181.74</v>
      </c>
      <c r="S99" s="1">
        <v>0</v>
      </c>
      <c r="T99" s="31">
        <v>0</v>
      </c>
      <c r="U99" s="31">
        <v>500</v>
      </c>
      <c r="V99" s="31">
        <v>0</v>
      </c>
      <c r="W99" s="31">
        <v>0</v>
      </c>
      <c r="X99" s="31">
        <v>3500</v>
      </c>
      <c r="Y99" s="31">
        <v>400</v>
      </c>
      <c r="Z99" s="31" t="s">
        <v>75</v>
      </c>
      <c r="AA99" s="31">
        <v>18000</v>
      </c>
      <c r="AB99" s="55">
        <f>SUBTOTAL(9,T99:AA99)</f>
        <v>22400</v>
      </c>
      <c r="AC99" s="31">
        <v>22400</v>
      </c>
      <c r="AD99" s="31">
        <f>SUBTOTAL(9,T99:W99)</f>
        <v>500</v>
      </c>
      <c r="AE99" s="31">
        <v>22400</v>
      </c>
      <c r="AF99" s="31">
        <v>0</v>
      </c>
    </row>
    <row r="100" spans="1:32" x14ac:dyDescent="0.25">
      <c r="A100" s="15" t="s">
        <v>156</v>
      </c>
      <c r="B100" s="6" t="s">
        <v>7</v>
      </c>
      <c r="C100" s="1" t="s">
        <v>526</v>
      </c>
      <c r="D100" s="6" t="s">
        <v>526</v>
      </c>
      <c r="E100" s="22" t="s">
        <v>6</v>
      </c>
      <c r="F100" s="1" t="s">
        <v>221</v>
      </c>
      <c r="G100" s="1">
        <v>0</v>
      </c>
      <c r="H100" s="1" t="s">
        <v>75</v>
      </c>
      <c r="I100" s="1">
        <v>0</v>
      </c>
      <c r="J100" s="1">
        <v>0</v>
      </c>
      <c r="K100" s="1">
        <v>3000</v>
      </c>
      <c r="L100" s="1">
        <v>8392</v>
      </c>
      <c r="M100" s="1">
        <v>1608</v>
      </c>
      <c r="N100" s="1">
        <v>1939</v>
      </c>
      <c r="O100" s="55">
        <f t="shared" si="4"/>
        <v>14939</v>
      </c>
      <c r="P100" s="13">
        <v>17950</v>
      </c>
      <c r="Q100" s="31">
        <f>SUBTOTAL(9,G100:J100)</f>
        <v>0</v>
      </c>
      <c r="R100" s="1">
        <v>16265</v>
      </c>
      <c r="S100" s="1">
        <v>3120</v>
      </c>
      <c r="T100" s="31">
        <v>0</v>
      </c>
      <c r="U100" s="31">
        <v>600</v>
      </c>
      <c r="V100" s="31">
        <v>0</v>
      </c>
      <c r="W100" s="31">
        <v>201</v>
      </c>
      <c r="X100" s="31">
        <v>4000</v>
      </c>
      <c r="Y100" s="31">
        <v>7436</v>
      </c>
      <c r="Z100" s="31">
        <v>625</v>
      </c>
      <c r="AA100" s="31">
        <v>1834</v>
      </c>
      <c r="AB100" s="55">
        <f>SUBTOTAL(9,T100:AA100)</f>
        <v>14696</v>
      </c>
      <c r="AC100" s="31">
        <v>14696</v>
      </c>
      <c r="AD100" s="31">
        <f>SUBTOTAL(9,T100:W100)</f>
        <v>801</v>
      </c>
      <c r="AE100" s="31">
        <v>14374</v>
      </c>
      <c r="AF100" s="31">
        <v>3120</v>
      </c>
    </row>
    <row r="101" spans="1:32" hidden="1" x14ac:dyDescent="0.25">
      <c r="A101" s="7" t="s">
        <v>157</v>
      </c>
      <c r="B101" s="6" t="s">
        <v>7</v>
      </c>
      <c r="C101" s="1" t="s">
        <v>527</v>
      </c>
      <c r="D101" s="6" t="s">
        <v>527</v>
      </c>
      <c r="E101" s="22" t="s">
        <v>214</v>
      </c>
      <c r="F101" s="1" t="s">
        <v>6</v>
      </c>
      <c r="G101" s="41">
        <v>30792</v>
      </c>
      <c r="H101" s="41">
        <v>14211</v>
      </c>
      <c r="I101" s="1" t="s">
        <v>266</v>
      </c>
      <c r="J101" s="41">
        <v>1810</v>
      </c>
      <c r="K101" s="41">
        <v>20340</v>
      </c>
      <c r="L101" s="41">
        <v>1093</v>
      </c>
      <c r="M101" s="41">
        <v>648</v>
      </c>
      <c r="N101" s="41">
        <v>68894</v>
      </c>
      <c r="O101" s="55">
        <f t="shared" si="4"/>
        <v>0</v>
      </c>
      <c r="P101" s="58">
        <v>137788</v>
      </c>
      <c r="Q101" s="31"/>
      <c r="R101" s="41">
        <v>64634</v>
      </c>
      <c r="S101" s="41">
        <v>26815</v>
      </c>
      <c r="T101" s="31" t="s">
        <v>75</v>
      </c>
      <c r="U101" s="31" t="s">
        <v>75</v>
      </c>
      <c r="V101" s="31" t="s">
        <v>75</v>
      </c>
      <c r="W101" s="31" t="s">
        <v>75</v>
      </c>
      <c r="X101" s="31" t="s">
        <v>75</v>
      </c>
      <c r="Y101" s="31" t="s">
        <v>75</v>
      </c>
      <c r="Z101" s="31" t="s">
        <v>75</v>
      </c>
      <c r="AA101" s="31" t="s">
        <v>75</v>
      </c>
      <c r="AB101" s="31"/>
      <c r="AC101" s="31" t="s">
        <v>75</v>
      </c>
      <c r="AD101" s="31"/>
      <c r="AE101" s="31" t="s">
        <v>75</v>
      </c>
      <c r="AF101" s="31" t="s">
        <v>75</v>
      </c>
    </row>
    <row r="102" spans="1:32" x14ac:dyDescent="0.25">
      <c r="A102" s="12" t="s">
        <v>45</v>
      </c>
      <c r="B102" s="6" t="s">
        <v>7</v>
      </c>
      <c r="C102" s="1" t="s">
        <v>526</v>
      </c>
      <c r="D102" s="6" t="s">
        <v>526</v>
      </c>
      <c r="E102" s="22" t="s">
        <v>6</v>
      </c>
      <c r="F102" s="1" t="s">
        <v>6</v>
      </c>
      <c r="G102" s="39">
        <v>7391</v>
      </c>
      <c r="H102" s="1" t="s">
        <v>266</v>
      </c>
      <c r="I102" s="1" t="s">
        <v>266</v>
      </c>
      <c r="J102" s="1">
        <v>1353</v>
      </c>
      <c r="K102" s="1">
        <v>0</v>
      </c>
      <c r="L102" s="1">
        <v>21274</v>
      </c>
      <c r="M102" s="1">
        <v>64</v>
      </c>
      <c r="N102" s="1">
        <v>2000</v>
      </c>
      <c r="O102" s="55">
        <f t="shared" si="4"/>
        <v>32082</v>
      </c>
      <c r="P102" s="13">
        <v>32082</v>
      </c>
      <c r="Q102" s="31">
        <f>SUBTOTAL(9,G102:J102)</f>
        <v>8744</v>
      </c>
      <c r="R102" s="1">
        <v>48177</v>
      </c>
      <c r="S102" s="1">
        <v>17466</v>
      </c>
      <c r="T102" s="31">
        <v>7328</v>
      </c>
      <c r="U102" s="31" t="s">
        <v>75</v>
      </c>
      <c r="V102" s="31" t="s">
        <v>75</v>
      </c>
      <c r="W102" s="31">
        <v>800</v>
      </c>
      <c r="X102" s="31" t="s">
        <v>75</v>
      </c>
      <c r="Y102" s="31">
        <v>2235</v>
      </c>
      <c r="Z102" s="31">
        <v>9000</v>
      </c>
      <c r="AA102" s="31">
        <v>43158</v>
      </c>
      <c r="AB102" s="55">
        <f>SUBTOTAL(9,T102:AA102)</f>
        <v>62521</v>
      </c>
      <c r="AC102" s="31">
        <v>62521</v>
      </c>
      <c r="AD102" s="31">
        <f>SUBTOTAL(9,T102:W102)</f>
        <v>8128</v>
      </c>
      <c r="AE102" s="31">
        <v>71779</v>
      </c>
      <c r="AF102" s="31">
        <v>17466</v>
      </c>
    </row>
    <row r="103" spans="1:32" hidden="1" x14ac:dyDescent="0.25">
      <c r="A103" s="11" t="s">
        <v>92</v>
      </c>
      <c r="B103" s="6" t="s">
        <v>9</v>
      </c>
      <c r="C103" s="1" t="s">
        <v>526</v>
      </c>
      <c r="D103" s="6" t="s">
        <v>526</v>
      </c>
      <c r="E103" s="22" t="s">
        <v>6</v>
      </c>
      <c r="F103" s="1" t="s">
        <v>221</v>
      </c>
      <c r="G103" s="1">
        <v>0</v>
      </c>
      <c r="H103" s="42">
        <v>6177.36</v>
      </c>
      <c r="I103" s="1" t="s">
        <v>301</v>
      </c>
      <c r="J103" s="42">
        <v>10123.36</v>
      </c>
      <c r="K103" s="42">
        <v>502523</v>
      </c>
      <c r="L103" s="42">
        <v>1246.97</v>
      </c>
      <c r="M103" s="42">
        <v>5269</v>
      </c>
      <c r="N103" s="42">
        <v>221900</v>
      </c>
      <c r="O103" s="55">
        <f t="shared" si="4"/>
        <v>0</v>
      </c>
      <c r="P103" s="56">
        <v>747239</v>
      </c>
      <c r="Q103" s="35">
        <f>SUBTOTAL(9,G103:J103)</f>
        <v>0</v>
      </c>
      <c r="R103" s="42">
        <v>642507</v>
      </c>
      <c r="S103" s="42">
        <v>272378</v>
      </c>
      <c r="T103" s="31">
        <v>0</v>
      </c>
      <c r="U103" s="31">
        <v>179.47</v>
      </c>
      <c r="V103" s="31" t="s">
        <v>266</v>
      </c>
      <c r="W103" s="31">
        <v>7470.7</v>
      </c>
      <c r="X103" s="31">
        <v>490000</v>
      </c>
      <c r="Y103" s="31">
        <v>375</v>
      </c>
      <c r="Z103" s="31">
        <v>1340</v>
      </c>
      <c r="AA103" s="31">
        <v>95522</v>
      </c>
      <c r="AB103" s="55">
        <f>SUBTOTAL(9,T103:AA103)</f>
        <v>0</v>
      </c>
      <c r="AC103" s="31">
        <v>594887</v>
      </c>
      <c r="AD103" s="35">
        <f>SUBTOTAL(9,T103:W106)</f>
        <v>33994.090000000004</v>
      </c>
      <c r="AE103" s="31">
        <v>491000</v>
      </c>
      <c r="AF103" s="31">
        <v>165000</v>
      </c>
    </row>
    <row r="104" spans="1:32" x14ac:dyDescent="0.25">
      <c r="A104" s="11" t="s">
        <v>46</v>
      </c>
      <c r="B104" s="6" t="s">
        <v>7</v>
      </c>
      <c r="C104" s="1" t="s">
        <v>526</v>
      </c>
      <c r="D104" s="6" t="s">
        <v>526</v>
      </c>
      <c r="E104" s="22" t="s">
        <v>6</v>
      </c>
      <c r="F104" s="1" t="s">
        <v>6</v>
      </c>
      <c r="G104" s="1">
        <v>8517</v>
      </c>
      <c r="H104" s="1">
        <v>16887</v>
      </c>
      <c r="I104" s="1">
        <v>10838</v>
      </c>
      <c r="J104" s="1">
        <v>6049</v>
      </c>
      <c r="K104" s="1">
        <v>0</v>
      </c>
      <c r="L104" s="1">
        <v>10737</v>
      </c>
      <c r="M104" s="1" t="s">
        <v>410</v>
      </c>
      <c r="N104" s="1">
        <v>4575</v>
      </c>
      <c r="O104" s="55">
        <f t="shared" si="4"/>
        <v>57603</v>
      </c>
      <c r="P104" s="13">
        <v>45508</v>
      </c>
      <c r="Q104" s="31">
        <f>SUBTOTAL(9,G104:J104)</f>
        <v>42291</v>
      </c>
      <c r="R104" s="1">
        <v>43476</v>
      </c>
      <c r="S104" s="1">
        <v>0</v>
      </c>
      <c r="T104" s="31">
        <v>12622.91</v>
      </c>
      <c r="U104" s="31">
        <v>2684</v>
      </c>
      <c r="V104" s="31">
        <v>9694</v>
      </c>
      <c r="W104" s="31" t="s">
        <v>660</v>
      </c>
      <c r="X104" s="31">
        <v>0</v>
      </c>
      <c r="Y104" s="31">
        <v>13695</v>
      </c>
      <c r="Z104" s="31" t="s">
        <v>660</v>
      </c>
      <c r="AA104" s="31">
        <v>2500</v>
      </c>
      <c r="AB104" s="55">
        <f>SUBTOTAL(9,T104:AA104)</f>
        <v>41195.910000000003</v>
      </c>
      <c r="AC104" s="31">
        <v>46070</v>
      </c>
      <c r="AD104" s="31">
        <f>SUBTOTAL(9,T104:W104)</f>
        <v>25000.91</v>
      </c>
      <c r="AE104" s="31">
        <v>35811</v>
      </c>
      <c r="AF104" s="31">
        <v>0</v>
      </c>
    </row>
    <row r="105" spans="1:32" hidden="1" x14ac:dyDescent="0.25">
      <c r="A105" s="18" t="s">
        <v>158</v>
      </c>
      <c r="B105" s="6" t="s">
        <v>7</v>
      </c>
      <c r="C105" s="20"/>
      <c r="D105" s="6" t="s">
        <v>526</v>
      </c>
      <c r="E105" s="22" t="s">
        <v>214</v>
      </c>
      <c r="F105" s="1" t="s">
        <v>6</v>
      </c>
      <c r="G105" s="1" t="s">
        <v>513</v>
      </c>
      <c r="H105" s="1" t="s">
        <v>281</v>
      </c>
      <c r="I105" s="1" t="s">
        <v>514</v>
      </c>
      <c r="J105" s="1" t="s">
        <v>75</v>
      </c>
      <c r="K105" s="1" t="s">
        <v>75</v>
      </c>
      <c r="L105" s="1" t="s">
        <v>75</v>
      </c>
      <c r="M105" s="1" t="s">
        <v>75</v>
      </c>
      <c r="N105" s="1" t="s">
        <v>75</v>
      </c>
      <c r="O105" s="32"/>
      <c r="P105" s="1" t="s">
        <v>75</v>
      </c>
      <c r="Q105" s="31"/>
      <c r="R105" s="1" t="s">
        <v>75</v>
      </c>
      <c r="S105" s="1" t="s">
        <v>75</v>
      </c>
      <c r="T105" s="31"/>
      <c r="U105" s="31"/>
      <c r="V105" s="31"/>
      <c r="W105" s="31"/>
      <c r="X105" s="31"/>
      <c r="Y105" s="31"/>
      <c r="Z105" s="31"/>
      <c r="AA105" s="31"/>
      <c r="AB105" s="31"/>
      <c r="AC105" s="31"/>
      <c r="AD105" s="31"/>
      <c r="AE105" s="31"/>
      <c r="AF105" s="31"/>
    </row>
    <row r="106" spans="1:32" x14ac:dyDescent="0.25">
      <c r="A106" s="10" t="s">
        <v>13</v>
      </c>
      <c r="B106" s="6" t="s">
        <v>7</v>
      </c>
      <c r="C106" s="1" t="s">
        <v>526</v>
      </c>
      <c r="D106" s="6" t="s">
        <v>526</v>
      </c>
      <c r="E106" s="22" t="s">
        <v>214</v>
      </c>
      <c r="F106" s="1" t="s">
        <v>221</v>
      </c>
      <c r="G106" s="1">
        <v>0</v>
      </c>
      <c r="H106" s="42">
        <v>8587.8799999999992</v>
      </c>
      <c r="I106" s="1" t="s">
        <v>301</v>
      </c>
      <c r="J106" s="41">
        <v>2495</v>
      </c>
      <c r="K106" s="1" t="s">
        <v>301</v>
      </c>
      <c r="L106" s="42">
        <v>2816.08</v>
      </c>
      <c r="M106" s="42">
        <v>1464.38</v>
      </c>
      <c r="N106" s="42">
        <v>62187.47</v>
      </c>
      <c r="O106" s="55">
        <f>SUBTOTAL(9,G106:N106)</f>
        <v>77550.81</v>
      </c>
      <c r="P106" s="61">
        <v>77550.81</v>
      </c>
      <c r="Q106" s="31">
        <f>SUBTOTAL(9,G106:J106)</f>
        <v>11082.88</v>
      </c>
      <c r="R106" s="42">
        <v>33155.81</v>
      </c>
      <c r="S106" s="42">
        <v>32733.25</v>
      </c>
      <c r="T106" s="31">
        <v>0</v>
      </c>
      <c r="U106" s="31">
        <v>6617.11</v>
      </c>
      <c r="V106" s="31" t="s">
        <v>301</v>
      </c>
      <c r="W106" s="31">
        <v>2376.0700000000002</v>
      </c>
      <c r="X106" s="31">
        <v>0</v>
      </c>
      <c r="Y106" s="31">
        <v>2899.72</v>
      </c>
      <c r="Z106" s="31">
        <v>1457.99</v>
      </c>
      <c r="AA106" s="31">
        <v>34713</v>
      </c>
      <c r="AB106" s="55">
        <f>SUBTOTAL(9,T106:AA106)</f>
        <v>48063.89</v>
      </c>
      <c r="AC106" s="31">
        <v>48063.89</v>
      </c>
      <c r="AD106" s="31">
        <f>SUBTOTAL(9,T106:W106)</f>
        <v>8993.18</v>
      </c>
      <c r="AE106" s="31">
        <v>43755.95</v>
      </c>
      <c r="AF106" s="31">
        <v>18000</v>
      </c>
    </row>
    <row r="107" spans="1:32" hidden="1" x14ac:dyDescent="0.25">
      <c r="A107" s="10" t="s">
        <v>47</v>
      </c>
      <c r="B107" s="6" t="s">
        <v>8</v>
      </c>
      <c r="C107" s="1" t="s">
        <v>528</v>
      </c>
      <c r="D107" s="37" t="s">
        <v>529</v>
      </c>
      <c r="E107" s="22" t="s">
        <v>6</v>
      </c>
      <c r="F107" s="1" t="s">
        <v>6</v>
      </c>
      <c r="G107" s="1">
        <v>0</v>
      </c>
      <c r="H107" s="1">
        <v>0</v>
      </c>
      <c r="I107" s="1">
        <v>0</v>
      </c>
      <c r="J107" s="1">
        <v>0</v>
      </c>
      <c r="K107" s="1" t="s">
        <v>472</v>
      </c>
      <c r="L107" s="38">
        <v>350</v>
      </c>
      <c r="M107" s="1">
        <v>0</v>
      </c>
      <c r="N107" s="1">
        <v>0</v>
      </c>
      <c r="O107" s="32">
        <f>SUBTOTAL(9,G107:N107)</f>
        <v>0</v>
      </c>
      <c r="P107" s="1" t="s">
        <v>266</v>
      </c>
      <c r="Q107" s="31"/>
      <c r="R107" s="1" t="s">
        <v>266</v>
      </c>
      <c r="S107" s="39">
        <v>22000</v>
      </c>
      <c r="T107" s="31" t="s">
        <v>75</v>
      </c>
      <c r="U107" s="31" t="s">
        <v>75</v>
      </c>
      <c r="V107" s="31" t="s">
        <v>75</v>
      </c>
      <c r="W107" s="31" t="s">
        <v>75</v>
      </c>
      <c r="X107" s="31" t="s">
        <v>75</v>
      </c>
      <c r="Y107" s="31" t="s">
        <v>75</v>
      </c>
      <c r="Z107" s="31" t="s">
        <v>75</v>
      </c>
      <c r="AA107" s="31" t="s">
        <v>75</v>
      </c>
      <c r="AB107" s="31"/>
      <c r="AC107" s="31" t="s">
        <v>75</v>
      </c>
      <c r="AD107" s="31"/>
      <c r="AE107" s="31" t="s">
        <v>75</v>
      </c>
      <c r="AF107" s="31" t="s">
        <v>75</v>
      </c>
    </row>
    <row r="108" spans="1:32" hidden="1" x14ac:dyDescent="0.25">
      <c r="A108" s="10" t="s">
        <v>129</v>
      </c>
      <c r="B108" s="6" t="s">
        <v>7</v>
      </c>
      <c r="C108" s="1" t="s">
        <v>526</v>
      </c>
      <c r="D108" s="6" t="s">
        <v>526</v>
      </c>
      <c r="E108" s="22" t="s">
        <v>6</v>
      </c>
      <c r="F108" s="1" t="s">
        <v>6</v>
      </c>
      <c r="G108" s="1" t="s">
        <v>75</v>
      </c>
      <c r="H108" s="1" t="s">
        <v>75</v>
      </c>
      <c r="I108" s="1" t="s">
        <v>75</v>
      </c>
      <c r="J108" s="1" t="s">
        <v>75</v>
      </c>
      <c r="K108" s="1" t="s">
        <v>75</v>
      </c>
      <c r="L108" s="1" t="s">
        <v>75</v>
      </c>
      <c r="M108" s="1" t="s">
        <v>75</v>
      </c>
      <c r="N108" s="1" t="s">
        <v>75</v>
      </c>
      <c r="O108" s="32">
        <f>SUBTOTAL(9,G108:N108)</f>
        <v>0</v>
      </c>
      <c r="P108" s="1" t="s">
        <v>75</v>
      </c>
      <c r="Q108" s="31">
        <f>SUBTOTAL(9,G108:J108)</f>
        <v>0</v>
      </c>
      <c r="R108" s="1" t="s">
        <v>75</v>
      </c>
      <c r="S108" s="1" t="s">
        <v>75</v>
      </c>
      <c r="T108" s="31">
        <v>139.5</v>
      </c>
      <c r="U108" s="31">
        <v>0</v>
      </c>
      <c r="V108" s="31">
        <v>0</v>
      </c>
      <c r="W108" s="31">
        <v>1507.83</v>
      </c>
      <c r="X108" s="31">
        <v>58000</v>
      </c>
      <c r="Y108" s="31">
        <v>554.25</v>
      </c>
      <c r="Z108" s="31">
        <v>2841.76</v>
      </c>
      <c r="AA108" s="31">
        <v>1140.6500000000001</v>
      </c>
      <c r="AB108" s="55">
        <f>SUBTOTAL(9,T108:AA108)</f>
        <v>0</v>
      </c>
      <c r="AC108" s="31">
        <v>64183.99</v>
      </c>
      <c r="AD108" s="31">
        <f>SUBTOTAL(9,T108:W108)</f>
        <v>0</v>
      </c>
      <c r="AE108" s="31">
        <v>63475.88</v>
      </c>
      <c r="AF108" s="31">
        <v>48545.84</v>
      </c>
    </row>
    <row r="109" spans="1:32" hidden="1" x14ac:dyDescent="0.25">
      <c r="A109" s="11" t="s">
        <v>48</v>
      </c>
      <c r="B109" s="6" t="s">
        <v>7</v>
      </c>
      <c r="C109" s="1"/>
      <c r="D109" s="6"/>
      <c r="E109" s="22"/>
      <c r="F109" s="22" t="s">
        <v>214</v>
      </c>
      <c r="G109" s="22"/>
      <c r="H109" s="22"/>
      <c r="I109" s="22"/>
      <c r="J109" s="22"/>
      <c r="K109" s="22"/>
      <c r="L109" s="22"/>
      <c r="M109" s="22"/>
      <c r="N109" s="22"/>
      <c r="O109" s="32"/>
      <c r="P109" s="22"/>
      <c r="Q109" s="31"/>
      <c r="R109" s="22"/>
      <c r="S109" s="22"/>
      <c r="T109" s="31"/>
      <c r="U109" s="31"/>
      <c r="V109" s="31"/>
      <c r="W109" s="31"/>
      <c r="X109" s="31"/>
      <c r="Y109" s="31"/>
      <c r="Z109" s="31"/>
      <c r="AA109" s="31"/>
      <c r="AB109" s="31"/>
      <c r="AC109" s="31"/>
      <c r="AD109" s="31"/>
      <c r="AE109" s="31"/>
      <c r="AF109" s="31"/>
    </row>
    <row r="110" spans="1:32" ht="30" hidden="1" x14ac:dyDescent="0.25">
      <c r="A110" s="8" t="s">
        <v>93</v>
      </c>
      <c r="B110" s="6" t="s">
        <v>94</v>
      </c>
      <c r="C110" s="1"/>
      <c r="D110" s="6"/>
      <c r="E110" s="22"/>
      <c r="F110" s="1" t="s">
        <v>214</v>
      </c>
      <c r="G110" s="1"/>
      <c r="H110" s="1"/>
      <c r="I110" s="1"/>
      <c r="J110" s="1"/>
      <c r="K110" s="1"/>
      <c r="L110" s="1"/>
      <c r="M110" s="1"/>
      <c r="N110" s="1"/>
      <c r="O110" s="32"/>
      <c r="P110" s="1"/>
      <c r="Q110" s="31"/>
      <c r="R110" s="1"/>
      <c r="S110" s="1"/>
      <c r="T110" s="31"/>
      <c r="U110" s="31"/>
      <c r="V110" s="31"/>
      <c r="W110" s="31"/>
      <c r="X110" s="31"/>
      <c r="Y110" s="31"/>
      <c r="Z110" s="31"/>
      <c r="AA110" s="31"/>
      <c r="AB110" s="31"/>
      <c r="AC110" s="31"/>
      <c r="AD110" s="31"/>
      <c r="AE110" s="31"/>
      <c r="AF110" s="31"/>
    </row>
    <row r="111" spans="1:32" hidden="1" x14ac:dyDescent="0.25">
      <c r="A111" s="11" t="s">
        <v>14</v>
      </c>
      <c r="B111" s="6" t="s">
        <v>7</v>
      </c>
      <c r="C111" s="1"/>
      <c r="D111" s="6" t="s">
        <v>527</v>
      </c>
      <c r="E111" s="22" t="s">
        <v>214</v>
      </c>
      <c r="F111" s="1" t="s">
        <v>6</v>
      </c>
      <c r="G111" s="39">
        <v>105000</v>
      </c>
      <c r="H111" s="1">
        <v>11210</v>
      </c>
      <c r="I111" s="1">
        <v>631</v>
      </c>
      <c r="J111" s="1">
        <v>20514</v>
      </c>
      <c r="K111" s="1">
        <v>0</v>
      </c>
      <c r="L111" s="1">
        <v>3295</v>
      </c>
      <c r="M111" s="1">
        <v>5103</v>
      </c>
      <c r="N111" s="1">
        <v>3635</v>
      </c>
      <c r="O111" s="55">
        <f>SUBTOTAL(9,G111:N111)</f>
        <v>0</v>
      </c>
      <c r="P111" s="13">
        <v>149312</v>
      </c>
      <c r="Q111" s="31"/>
      <c r="R111" s="1">
        <v>163000</v>
      </c>
      <c r="S111" s="1">
        <v>0</v>
      </c>
      <c r="T111" s="31"/>
      <c r="U111" s="31"/>
      <c r="V111" s="31"/>
      <c r="W111" s="31"/>
      <c r="X111" s="31"/>
      <c r="Y111" s="31"/>
      <c r="Z111" s="31"/>
      <c r="AA111" s="31"/>
      <c r="AB111" s="31"/>
      <c r="AC111" s="31"/>
      <c r="AD111" s="31"/>
      <c r="AE111" s="31"/>
      <c r="AF111" s="31"/>
    </row>
    <row r="112" spans="1:32" x14ac:dyDescent="0.25">
      <c r="A112" s="11" t="s">
        <v>49</v>
      </c>
      <c r="B112" s="6" t="s">
        <v>7</v>
      </c>
      <c r="C112" s="1" t="s">
        <v>528</v>
      </c>
      <c r="D112" s="6" t="s">
        <v>528</v>
      </c>
      <c r="E112" s="22" t="s">
        <v>214</v>
      </c>
      <c r="F112" s="1" t="s">
        <v>6</v>
      </c>
      <c r="G112" s="41">
        <v>960805</v>
      </c>
      <c r="H112" s="38">
        <v>282846</v>
      </c>
      <c r="I112" s="1" t="s">
        <v>386</v>
      </c>
      <c r="J112" s="41">
        <v>41401</v>
      </c>
      <c r="K112" s="1">
        <v>0</v>
      </c>
      <c r="L112" s="41">
        <v>109890</v>
      </c>
      <c r="M112" s="41">
        <v>155793</v>
      </c>
      <c r="N112" s="1">
        <v>0</v>
      </c>
      <c r="O112" s="55">
        <f>SUBTOTAL(9,G112:N112)</f>
        <v>1550735</v>
      </c>
      <c r="P112" s="58">
        <v>1550735</v>
      </c>
      <c r="Q112" s="31">
        <f>SUBTOTAL(9,G112:J112)</f>
        <v>1285052</v>
      </c>
      <c r="R112" s="41">
        <v>1224476</v>
      </c>
      <c r="S112" s="41">
        <v>93139</v>
      </c>
      <c r="T112" s="31">
        <v>355646</v>
      </c>
      <c r="U112" s="31">
        <v>712381</v>
      </c>
      <c r="V112" s="31">
        <v>189004</v>
      </c>
      <c r="W112" s="31">
        <v>305963</v>
      </c>
      <c r="X112" s="31">
        <v>0</v>
      </c>
      <c r="Y112" s="31">
        <v>90127</v>
      </c>
      <c r="Z112" s="31">
        <v>40897</v>
      </c>
      <c r="AA112" s="31">
        <v>0</v>
      </c>
      <c r="AB112" s="55">
        <f>SUBTOTAL(9,T112:AA112)</f>
        <v>1694018</v>
      </c>
      <c r="AC112" s="31">
        <v>1505014</v>
      </c>
      <c r="AD112" s="31">
        <f>SUBTOTAL(9,T112:W112)</f>
        <v>1562994</v>
      </c>
      <c r="AE112" s="31">
        <v>1115046</v>
      </c>
      <c r="AF112" s="31">
        <v>253540</v>
      </c>
    </row>
    <row r="113" spans="1:32" ht="30" hidden="1" x14ac:dyDescent="0.25">
      <c r="A113" s="8" t="s">
        <v>195</v>
      </c>
      <c r="B113" s="6" t="s">
        <v>94</v>
      </c>
      <c r="C113" s="1"/>
      <c r="D113" s="6"/>
      <c r="E113" s="22"/>
      <c r="F113" s="22" t="s">
        <v>625</v>
      </c>
      <c r="G113" s="22"/>
      <c r="H113" s="22"/>
      <c r="I113" s="22"/>
      <c r="J113" s="22"/>
      <c r="K113" s="22"/>
      <c r="L113" s="22"/>
      <c r="M113" s="22"/>
      <c r="N113" s="22"/>
      <c r="O113" s="32"/>
      <c r="P113" s="22"/>
      <c r="Q113" s="31"/>
      <c r="R113" s="22"/>
      <c r="S113" s="22"/>
      <c r="T113" s="31"/>
      <c r="U113" s="31"/>
      <c r="V113" s="31"/>
      <c r="W113" s="31"/>
      <c r="X113" s="31"/>
      <c r="Y113" s="31"/>
      <c r="Z113" s="31"/>
      <c r="AA113" s="31"/>
      <c r="AB113" s="31"/>
      <c r="AC113" s="31"/>
      <c r="AD113" s="31"/>
      <c r="AE113" s="31"/>
      <c r="AF113" s="31"/>
    </row>
    <row r="114" spans="1:32" ht="30" hidden="1" x14ac:dyDescent="0.25">
      <c r="A114" s="8" t="s">
        <v>159</v>
      </c>
      <c r="B114" s="6" t="s">
        <v>94</v>
      </c>
      <c r="C114" s="1"/>
      <c r="D114" s="6"/>
      <c r="E114" s="22"/>
      <c r="F114" s="22" t="s">
        <v>214</v>
      </c>
      <c r="G114" s="22"/>
      <c r="H114" s="22"/>
      <c r="I114" s="22"/>
      <c r="J114" s="22"/>
      <c r="K114" s="22"/>
      <c r="L114" s="22"/>
      <c r="M114" s="22"/>
      <c r="N114" s="22"/>
      <c r="O114" s="32"/>
      <c r="P114" s="22"/>
      <c r="Q114" s="31"/>
      <c r="R114" s="22"/>
      <c r="S114" s="22"/>
      <c r="T114" s="31"/>
      <c r="U114" s="31"/>
      <c r="V114" s="31"/>
      <c r="W114" s="31"/>
      <c r="X114" s="31"/>
      <c r="Y114" s="31"/>
      <c r="Z114" s="31"/>
      <c r="AA114" s="31"/>
      <c r="AB114" s="31"/>
      <c r="AC114" s="31"/>
      <c r="AD114" s="31"/>
      <c r="AE114" s="31"/>
      <c r="AF114" s="31"/>
    </row>
    <row r="115" spans="1:32" ht="30" hidden="1" x14ac:dyDescent="0.25">
      <c r="A115" s="8" t="s">
        <v>160</v>
      </c>
      <c r="B115" s="6" t="s">
        <v>94</v>
      </c>
      <c r="C115" s="1"/>
      <c r="D115" s="6"/>
      <c r="E115" s="22"/>
      <c r="F115" s="22" t="s">
        <v>214</v>
      </c>
      <c r="G115" s="22"/>
      <c r="H115" s="22"/>
      <c r="I115" s="22"/>
      <c r="J115" s="22"/>
      <c r="K115" s="22"/>
      <c r="L115" s="22"/>
      <c r="M115" s="22"/>
      <c r="N115" s="22"/>
      <c r="O115" s="32"/>
      <c r="P115" s="22"/>
      <c r="Q115" s="31"/>
      <c r="R115" s="22"/>
      <c r="S115" s="22"/>
      <c r="T115" s="31"/>
      <c r="U115" s="31"/>
      <c r="V115" s="31"/>
      <c r="W115" s="31"/>
      <c r="X115" s="31"/>
      <c r="Y115" s="31"/>
      <c r="Z115" s="31"/>
      <c r="AA115" s="31"/>
      <c r="AB115" s="31"/>
      <c r="AC115" s="31"/>
      <c r="AD115" s="31"/>
      <c r="AE115" s="31"/>
      <c r="AF115" s="31"/>
    </row>
    <row r="116" spans="1:32" x14ac:dyDescent="0.25">
      <c r="A116" s="11" t="s">
        <v>50</v>
      </c>
      <c r="B116" s="6" t="s">
        <v>7</v>
      </c>
      <c r="C116" s="1" t="s">
        <v>526</v>
      </c>
      <c r="D116" s="6" t="s">
        <v>526</v>
      </c>
      <c r="E116" s="36" t="s">
        <v>214</v>
      </c>
      <c r="F116" s="1" t="s">
        <v>320</v>
      </c>
      <c r="G116" s="46">
        <v>1356</v>
      </c>
      <c r="H116" s="46">
        <v>2156</v>
      </c>
      <c r="I116" s="1" t="s">
        <v>75</v>
      </c>
      <c r="J116" s="46">
        <v>6536</v>
      </c>
      <c r="K116" s="38">
        <v>52500</v>
      </c>
      <c r="L116" s="46">
        <v>1785</v>
      </c>
      <c r="M116" s="46">
        <v>6040</v>
      </c>
      <c r="N116" s="46">
        <v>695</v>
      </c>
      <c r="O116" s="55">
        <f>SUBTOTAL(9,G116:N116)</f>
        <v>71068</v>
      </c>
      <c r="P116" s="61">
        <v>71068</v>
      </c>
      <c r="Q116" s="31">
        <f>SUBTOTAL(9,G116:J116)</f>
        <v>10048</v>
      </c>
      <c r="R116" s="46">
        <v>36692.18</v>
      </c>
      <c r="S116" s="40">
        <v>23967.8</v>
      </c>
      <c r="T116" s="35">
        <v>1455</v>
      </c>
      <c r="U116" s="35">
        <v>5366</v>
      </c>
      <c r="V116" s="35">
        <v>0</v>
      </c>
      <c r="W116" s="35">
        <v>2465</v>
      </c>
      <c r="X116" s="35">
        <v>30000</v>
      </c>
      <c r="Y116" s="35">
        <v>1584</v>
      </c>
      <c r="Z116" s="35">
        <v>2000</v>
      </c>
      <c r="AA116" s="35">
        <v>4015</v>
      </c>
      <c r="AB116" s="55">
        <f>SUBTOTAL(9,T116:AA116)</f>
        <v>46885</v>
      </c>
      <c r="AC116" s="35">
        <v>53848</v>
      </c>
      <c r="AD116" s="31">
        <f>SUBTOTAL(9,T116:W116)</f>
        <v>9286</v>
      </c>
      <c r="AE116" s="35">
        <v>69680</v>
      </c>
      <c r="AF116" s="35">
        <v>24617</v>
      </c>
    </row>
    <row r="117" spans="1:32" x14ac:dyDescent="0.25">
      <c r="A117" s="10" t="s">
        <v>51</v>
      </c>
      <c r="B117" s="6" t="s">
        <v>7</v>
      </c>
      <c r="C117" s="1" t="s">
        <v>527</v>
      </c>
      <c r="D117" s="6" t="s">
        <v>527</v>
      </c>
      <c r="E117" s="22" t="s">
        <v>6</v>
      </c>
      <c r="F117" s="1" t="s">
        <v>6</v>
      </c>
      <c r="G117" s="1">
        <v>19218</v>
      </c>
      <c r="H117" s="1">
        <v>6500</v>
      </c>
      <c r="I117" s="1">
        <v>10500</v>
      </c>
      <c r="J117" s="1">
        <v>4000</v>
      </c>
      <c r="K117" s="1">
        <v>8500</v>
      </c>
      <c r="L117" s="1">
        <v>20284</v>
      </c>
      <c r="M117" s="1">
        <v>3000</v>
      </c>
      <c r="N117" s="1">
        <v>630</v>
      </c>
      <c r="O117" s="55">
        <f>SUBTOTAL(9,G117:N117)</f>
        <v>72632</v>
      </c>
      <c r="P117" s="13">
        <v>68469</v>
      </c>
      <c r="Q117" s="31">
        <f>SUBTOTAL(9,G117:J117)</f>
        <v>40218</v>
      </c>
      <c r="R117" s="1">
        <v>63938</v>
      </c>
      <c r="S117" s="1">
        <v>55741</v>
      </c>
      <c r="T117" s="31">
        <v>24000</v>
      </c>
      <c r="U117" s="31">
        <v>6000</v>
      </c>
      <c r="V117" s="31">
        <v>6000</v>
      </c>
      <c r="W117" s="31">
        <v>10000</v>
      </c>
      <c r="X117" s="31">
        <v>27000</v>
      </c>
      <c r="Y117" s="31">
        <v>5000</v>
      </c>
      <c r="Z117" s="31" t="s">
        <v>301</v>
      </c>
      <c r="AA117" s="31" t="s">
        <v>301</v>
      </c>
      <c r="AB117" s="55">
        <f>SUBTOTAL(9,T117:AA117)</f>
        <v>78000</v>
      </c>
      <c r="AC117" s="31">
        <v>125000</v>
      </c>
      <c r="AD117" s="31">
        <f>SUBTOTAL(9,T117:W117)</f>
        <v>46000</v>
      </c>
      <c r="AE117" s="31">
        <v>12500</v>
      </c>
      <c r="AF117" s="31">
        <v>45000</v>
      </c>
    </row>
    <row r="118" spans="1:32" hidden="1" x14ac:dyDescent="0.25">
      <c r="A118" s="11" t="s">
        <v>130</v>
      </c>
      <c r="B118" s="6" t="s">
        <v>53</v>
      </c>
      <c r="C118" s="1"/>
      <c r="D118" s="6"/>
      <c r="E118" s="22"/>
      <c r="F118" s="22" t="s">
        <v>214</v>
      </c>
      <c r="G118" s="22"/>
      <c r="H118" s="22"/>
      <c r="I118" s="22"/>
      <c r="J118" s="22"/>
      <c r="K118" s="22"/>
      <c r="L118" s="22"/>
      <c r="M118" s="22"/>
      <c r="N118" s="22"/>
      <c r="O118" s="32"/>
      <c r="P118" s="22"/>
      <c r="Q118" s="31"/>
      <c r="R118" s="22"/>
      <c r="S118" s="22"/>
      <c r="T118" s="31"/>
      <c r="U118" s="31"/>
      <c r="V118" s="31"/>
      <c r="W118" s="31"/>
      <c r="X118" s="31"/>
      <c r="Y118" s="31"/>
      <c r="Z118" s="31"/>
      <c r="AA118" s="31"/>
      <c r="AB118" s="31"/>
      <c r="AC118" s="31"/>
      <c r="AD118" s="31"/>
      <c r="AE118" s="31"/>
      <c r="AF118" s="31"/>
    </row>
    <row r="119" spans="1:32" hidden="1" x14ac:dyDescent="0.25">
      <c r="A119" s="8" t="s">
        <v>161</v>
      </c>
      <c r="B119" s="6" t="s">
        <v>53</v>
      </c>
      <c r="C119" s="1"/>
      <c r="D119" s="6"/>
      <c r="E119" s="22"/>
      <c r="F119" s="1" t="s">
        <v>214</v>
      </c>
      <c r="G119" s="1"/>
      <c r="H119" s="1"/>
      <c r="I119" s="1"/>
      <c r="J119" s="1"/>
      <c r="K119" s="1"/>
      <c r="L119" s="1"/>
      <c r="M119" s="1"/>
      <c r="N119" s="1"/>
      <c r="O119" s="32"/>
      <c r="P119" s="1"/>
      <c r="Q119" s="31"/>
      <c r="R119" s="1"/>
      <c r="S119" s="1"/>
      <c r="T119" s="31"/>
      <c r="U119" s="31"/>
      <c r="V119" s="31"/>
      <c r="W119" s="31"/>
      <c r="X119" s="31"/>
      <c r="Y119" s="31"/>
      <c r="Z119" s="31"/>
      <c r="AA119" s="31"/>
      <c r="AB119" s="31"/>
      <c r="AC119" s="31"/>
      <c r="AD119" s="31"/>
      <c r="AE119" s="31"/>
      <c r="AF119" s="31"/>
    </row>
    <row r="120" spans="1:32" hidden="1" x14ac:dyDescent="0.25">
      <c r="A120" s="8" t="s">
        <v>52</v>
      </c>
      <c r="B120" s="6" t="s">
        <v>53</v>
      </c>
      <c r="C120" s="1"/>
      <c r="D120" s="6"/>
      <c r="E120" s="22"/>
      <c r="F120" s="1" t="s">
        <v>214</v>
      </c>
      <c r="G120" s="1"/>
      <c r="H120" s="1"/>
      <c r="I120" s="1"/>
      <c r="J120" s="1"/>
      <c r="K120" s="1"/>
      <c r="L120" s="1"/>
      <c r="M120" s="1"/>
      <c r="N120" s="1"/>
      <c r="O120" s="32"/>
      <c r="P120" s="1"/>
      <c r="Q120" s="31"/>
      <c r="R120" s="1"/>
      <c r="S120" s="1"/>
      <c r="T120" s="31"/>
      <c r="U120" s="31"/>
      <c r="V120" s="31"/>
      <c r="W120" s="31"/>
      <c r="X120" s="31"/>
      <c r="Y120" s="31"/>
      <c r="Z120" s="31"/>
      <c r="AA120" s="31"/>
      <c r="AB120" s="31"/>
      <c r="AC120" s="31"/>
      <c r="AD120" s="31"/>
      <c r="AE120" s="31"/>
      <c r="AF120" s="31"/>
    </row>
    <row r="121" spans="1:32" hidden="1" x14ac:dyDescent="0.25">
      <c r="A121" s="8" t="s">
        <v>54</v>
      </c>
      <c r="B121" s="6" t="s">
        <v>53</v>
      </c>
      <c r="C121" s="1"/>
      <c r="D121" s="6"/>
      <c r="E121" s="22"/>
      <c r="F121" s="22" t="s">
        <v>214</v>
      </c>
      <c r="G121" s="22"/>
      <c r="H121" s="22"/>
      <c r="I121" s="22"/>
      <c r="J121" s="22"/>
      <c r="K121" s="22"/>
      <c r="L121" s="22"/>
      <c r="M121" s="22"/>
      <c r="N121" s="22"/>
      <c r="O121" s="32"/>
      <c r="P121" s="22"/>
      <c r="Q121" s="31"/>
      <c r="R121" s="22"/>
      <c r="S121" s="22"/>
      <c r="T121" s="31"/>
      <c r="U121" s="31"/>
      <c r="V121" s="31"/>
      <c r="W121" s="31"/>
      <c r="X121" s="31"/>
      <c r="Y121" s="31"/>
      <c r="Z121" s="31"/>
      <c r="AA121" s="31"/>
      <c r="AB121" s="31"/>
      <c r="AC121" s="31"/>
      <c r="AD121" s="31"/>
      <c r="AE121" s="31"/>
      <c r="AF121" s="31"/>
    </row>
    <row r="122" spans="1:32" hidden="1" x14ac:dyDescent="0.25">
      <c r="A122" s="8" t="s">
        <v>55</v>
      </c>
      <c r="B122" s="6" t="s">
        <v>53</v>
      </c>
      <c r="C122" s="1"/>
      <c r="D122" s="6"/>
      <c r="E122" s="22"/>
      <c r="F122" s="22" t="s">
        <v>214</v>
      </c>
      <c r="G122" s="22"/>
      <c r="H122" s="22"/>
      <c r="I122" s="22"/>
      <c r="J122" s="22"/>
      <c r="K122" s="22"/>
      <c r="L122" s="22"/>
      <c r="M122" s="22"/>
      <c r="N122" s="22"/>
      <c r="O122" s="32"/>
      <c r="P122" s="22"/>
      <c r="Q122" s="31"/>
      <c r="R122" s="22"/>
      <c r="S122" s="22"/>
      <c r="T122" s="31"/>
      <c r="U122" s="31"/>
      <c r="V122" s="31"/>
      <c r="W122" s="31"/>
      <c r="X122" s="31"/>
      <c r="Y122" s="31"/>
      <c r="Z122" s="31"/>
      <c r="AA122" s="31"/>
      <c r="AB122" s="31"/>
      <c r="AC122" s="31"/>
      <c r="AD122" s="31"/>
      <c r="AE122" s="31"/>
      <c r="AF122" s="31"/>
    </row>
    <row r="123" spans="1:32" hidden="1" x14ac:dyDescent="0.25">
      <c r="A123" s="8" t="s">
        <v>95</v>
      </c>
      <c r="B123" s="6" t="s">
        <v>53</v>
      </c>
      <c r="C123" s="1"/>
      <c r="D123" s="6"/>
      <c r="E123" s="22"/>
      <c r="F123" s="1" t="s">
        <v>214</v>
      </c>
      <c r="G123" s="1"/>
      <c r="H123" s="1"/>
      <c r="I123" s="1"/>
      <c r="J123" s="1"/>
      <c r="K123" s="1"/>
      <c r="L123" s="1"/>
      <c r="M123" s="1"/>
      <c r="N123" s="1"/>
      <c r="O123" s="32"/>
      <c r="P123" s="1"/>
      <c r="Q123" s="31"/>
      <c r="R123" s="1"/>
      <c r="S123" s="1"/>
      <c r="T123" s="31"/>
      <c r="U123" s="31"/>
      <c r="V123" s="31"/>
      <c r="W123" s="31"/>
      <c r="X123" s="31"/>
      <c r="Y123" s="31"/>
      <c r="Z123" s="31"/>
      <c r="AA123" s="31"/>
      <c r="AB123" s="31"/>
      <c r="AC123" s="31"/>
      <c r="AD123" s="31"/>
      <c r="AE123" s="31"/>
      <c r="AF123" s="31"/>
    </row>
    <row r="124" spans="1:32" hidden="1" x14ac:dyDescent="0.25">
      <c r="A124" s="8" t="s">
        <v>162</v>
      </c>
      <c r="B124" s="6" t="s">
        <v>53</v>
      </c>
      <c r="C124" s="1"/>
      <c r="D124" s="6"/>
      <c r="E124" s="22"/>
      <c r="F124" s="22" t="s">
        <v>214</v>
      </c>
      <c r="G124" s="22"/>
      <c r="H124" s="22"/>
      <c r="I124" s="22"/>
      <c r="J124" s="22"/>
      <c r="K124" s="22"/>
      <c r="L124" s="22"/>
      <c r="M124" s="22"/>
      <c r="N124" s="22"/>
      <c r="O124" s="32"/>
      <c r="P124" s="22"/>
      <c r="Q124" s="31"/>
      <c r="R124" s="22"/>
      <c r="S124" s="22"/>
      <c r="T124" s="31"/>
      <c r="U124" s="31"/>
      <c r="V124" s="31"/>
      <c r="W124" s="31"/>
      <c r="X124" s="31"/>
      <c r="Y124" s="31"/>
      <c r="Z124" s="31"/>
      <c r="AA124" s="31"/>
      <c r="AB124" s="31"/>
      <c r="AC124" s="31"/>
      <c r="AD124" s="31"/>
      <c r="AE124" s="31"/>
      <c r="AF124" s="31"/>
    </row>
    <row r="125" spans="1:32" hidden="1" x14ac:dyDescent="0.25">
      <c r="A125" s="8" t="s">
        <v>163</v>
      </c>
      <c r="B125" s="6" t="s">
        <v>53</v>
      </c>
      <c r="C125" s="1"/>
      <c r="D125" s="6"/>
      <c r="E125" s="22"/>
      <c r="F125" s="22" t="s">
        <v>214</v>
      </c>
      <c r="G125" s="22"/>
      <c r="H125" s="22"/>
      <c r="I125" s="22"/>
      <c r="J125" s="22"/>
      <c r="K125" s="22"/>
      <c r="L125" s="22"/>
      <c r="M125" s="22"/>
      <c r="N125" s="22"/>
      <c r="O125" s="32"/>
      <c r="P125" s="22"/>
      <c r="Q125" s="31"/>
      <c r="R125" s="22"/>
      <c r="S125" s="22"/>
      <c r="T125" s="31"/>
      <c r="U125" s="31"/>
      <c r="V125" s="31"/>
      <c r="W125" s="31"/>
      <c r="X125" s="31"/>
      <c r="Y125" s="31"/>
      <c r="Z125" s="31"/>
      <c r="AA125" s="31"/>
      <c r="AB125" s="31"/>
      <c r="AC125" s="31"/>
      <c r="AD125" s="31"/>
      <c r="AE125" s="31"/>
      <c r="AF125" s="31"/>
    </row>
    <row r="126" spans="1:32" hidden="1" x14ac:dyDescent="0.25">
      <c r="A126" s="8" t="s">
        <v>196</v>
      </c>
      <c r="B126" s="6" t="s">
        <v>53</v>
      </c>
      <c r="C126" s="1"/>
      <c r="D126" s="6"/>
      <c r="E126" s="22"/>
      <c r="F126" s="22" t="s">
        <v>214</v>
      </c>
      <c r="G126" s="22"/>
      <c r="H126" s="22"/>
      <c r="I126" s="22"/>
      <c r="J126" s="22"/>
      <c r="K126" s="22"/>
      <c r="L126" s="22"/>
      <c r="M126" s="22"/>
      <c r="N126" s="22"/>
      <c r="O126" s="32"/>
      <c r="P126" s="22"/>
      <c r="Q126" s="31"/>
      <c r="R126" s="22"/>
      <c r="S126" s="22"/>
      <c r="T126" s="31"/>
      <c r="U126" s="31"/>
      <c r="V126" s="31"/>
      <c r="W126" s="31"/>
      <c r="X126" s="31"/>
      <c r="Y126" s="31"/>
      <c r="Z126" s="31"/>
      <c r="AA126" s="31"/>
      <c r="AB126" s="31"/>
      <c r="AC126" s="31"/>
      <c r="AD126" s="31"/>
      <c r="AE126" s="31"/>
      <c r="AF126" s="31"/>
    </row>
    <row r="127" spans="1:32" hidden="1" x14ac:dyDescent="0.25">
      <c r="A127" s="8" t="s">
        <v>197</v>
      </c>
      <c r="B127" s="6" t="s">
        <v>53</v>
      </c>
      <c r="C127" s="1"/>
      <c r="D127" s="6"/>
      <c r="E127" s="22"/>
      <c r="F127" s="22" t="s">
        <v>214</v>
      </c>
      <c r="G127" s="22"/>
      <c r="H127" s="22"/>
      <c r="I127" s="22"/>
      <c r="J127" s="22"/>
      <c r="K127" s="22"/>
      <c r="L127" s="22"/>
      <c r="M127" s="22"/>
      <c r="N127" s="22"/>
      <c r="O127" s="32"/>
      <c r="P127" s="22"/>
      <c r="Q127" s="31"/>
      <c r="R127" s="22"/>
      <c r="S127" s="22"/>
      <c r="T127" s="31"/>
      <c r="U127" s="31"/>
      <c r="V127" s="31"/>
      <c r="W127" s="31"/>
      <c r="X127" s="31"/>
      <c r="Y127" s="31"/>
      <c r="Z127" s="31"/>
      <c r="AA127" s="31"/>
      <c r="AB127" s="31"/>
      <c r="AC127" s="31"/>
      <c r="AD127" s="31"/>
      <c r="AE127" s="31"/>
      <c r="AF127" s="31"/>
    </row>
    <row r="128" spans="1:32" ht="15.75" hidden="1" x14ac:dyDescent="0.25">
      <c r="A128" s="21" t="s">
        <v>164</v>
      </c>
      <c r="B128" s="1" t="s">
        <v>7</v>
      </c>
      <c r="C128" s="22"/>
      <c r="D128" s="6" t="s">
        <v>528</v>
      </c>
      <c r="E128" s="22" t="s">
        <v>214</v>
      </c>
      <c r="F128" s="1" t="s">
        <v>6</v>
      </c>
      <c r="G128" s="1">
        <v>556342</v>
      </c>
      <c r="H128" s="39">
        <v>71573</v>
      </c>
      <c r="I128" s="39">
        <v>18000</v>
      </c>
      <c r="J128" s="39">
        <v>3000</v>
      </c>
      <c r="K128" s="1">
        <v>0</v>
      </c>
      <c r="L128" s="39">
        <v>65921</v>
      </c>
      <c r="M128" s="1">
        <v>600</v>
      </c>
      <c r="N128" s="39">
        <v>35345</v>
      </c>
      <c r="O128" s="55">
        <f>SUBTOTAL(9,G128:N128)</f>
        <v>0</v>
      </c>
      <c r="P128" s="57">
        <v>759651</v>
      </c>
      <c r="Q128" s="22"/>
      <c r="R128" s="39">
        <v>689340</v>
      </c>
      <c r="S128" s="39">
        <v>213583</v>
      </c>
      <c r="T128" s="22"/>
      <c r="U128" s="22"/>
      <c r="V128" s="22"/>
      <c r="W128" s="22"/>
      <c r="X128" s="22"/>
      <c r="Y128" s="22"/>
      <c r="Z128" s="22"/>
      <c r="AA128" s="22"/>
      <c r="AB128" s="22"/>
      <c r="AC128" s="22"/>
      <c r="AD128" s="22"/>
      <c r="AE128" s="22"/>
      <c r="AF128" s="22"/>
    </row>
    <row r="129" spans="1:32" hidden="1" x14ac:dyDescent="0.25">
      <c r="A129" s="15" t="s">
        <v>198</v>
      </c>
      <c r="B129" s="6" t="s">
        <v>7</v>
      </c>
      <c r="C129" s="1" t="s">
        <v>526</v>
      </c>
      <c r="D129" s="6" t="s">
        <v>526</v>
      </c>
      <c r="E129" s="22"/>
      <c r="F129" s="22" t="s">
        <v>214</v>
      </c>
      <c r="G129" s="22"/>
      <c r="H129" s="22"/>
      <c r="I129" s="22"/>
      <c r="J129" s="22"/>
      <c r="K129" s="22"/>
      <c r="L129" s="22"/>
      <c r="M129" s="22"/>
      <c r="N129" s="22"/>
      <c r="O129" s="32"/>
      <c r="P129" s="22"/>
      <c r="Q129" s="31">
        <f>SUBTOTAL(9,G129:J129)</f>
        <v>0</v>
      </c>
      <c r="R129" s="22"/>
      <c r="S129" s="22"/>
      <c r="T129" s="31">
        <v>4666</v>
      </c>
      <c r="U129" s="31">
        <v>3766</v>
      </c>
      <c r="V129" s="31" t="s">
        <v>266</v>
      </c>
      <c r="W129" s="31">
        <v>135</v>
      </c>
      <c r="X129" s="31">
        <v>0</v>
      </c>
      <c r="Y129" s="31">
        <v>1795</v>
      </c>
      <c r="Z129" s="31">
        <v>2543</v>
      </c>
      <c r="AA129" s="31">
        <v>1350</v>
      </c>
      <c r="AB129" s="55">
        <f>SUBTOTAL(9,T129:AA129)</f>
        <v>0</v>
      </c>
      <c r="AC129" s="31">
        <v>14255</v>
      </c>
      <c r="AD129" s="31">
        <f>SUBTOTAL(9,T129:W129)</f>
        <v>0</v>
      </c>
      <c r="AE129" s="31">
        <v>29081</v>
      </c>
      <c r="AF129" s="31" t="s">
        <v>266</v>
      </c>
    </row>
    <row r="130" spans="1:32" ht="30" hidden="1" x14ac:dyDescent="0.25">
      <c r="A130" s="11" t="s">
        <v>96</v>
      </c>
      <c r="B130" s="6" t="s">
        <v>27</v>
      </c>
      <c r="C130" s="1" t="s">
        <v>526</v>
      </c>
      <c r="D130" s="6" t="s">
        <v>526</v>
      </c>
      <c r="E130" s="22" t="s">
        <v>6</v>
      </c>
      <c r="F130" s="1" t="s">
        <v>221</v>
      </c>
      <c r="G130" s="1" t="s">
        <v>75</v>
      </c>
      <c r="H130" s="1" t="s">
        <v>75</v>
      </c>
      <c r="I130" s="1" t="s">
        <v>75</v>
      </c>
      <c r="J130" s="1" t="s">
        <v>75</v>
      </c>
      <c r="K130" s="1" t="s">
        <v>27</v>
      </c>
      <c r="L130" s="1" t="s">
        <v>75</v>
      </c>
      <c r="M130" s="1" t="s">
        <v>75</v>
      </c>
      <c r="N130" s="1" t="s">
        <v>318</v>
      </c>
      <c r="O130" s="32">
        <f t="shared" ref="O130:O136" si="5">SUBTOTAL(9,G130:N130)</f>
        <v>0</v>
      </c>
      <c r="P130" s="41">
        <v>90000</v>
      </c>
      <c r="Q130" s="31"/>
      <c r="R130" s="41">
        <v>90000</v>
      </c>
      <c r="S130" s="41">
        <v>76000</v>
      </c>
      <c r="T130" s="31">
        <v>0</v>
      </c>
      <c r="U130" s="31">
        <v>0</v>
      </c>
      <c r="V130" s="31">
        <v>0</v>
      </c>
      <c r="W130" s="31">
        <v>0</v>
      </c>
      <c r="X130" s="31">
        <v>23262</v>
      </c>
      <c r="Y130" s="31">
        <v>0</v>
      </c>
      <c r="Z130" s="31">
        <v>11000</v>
      </c>
      <c r="AA130" s="31" t="s">
        <v>199</v>
      </c>
      <c r="AB130" s="55">
        <f>SUBTOTAL(9,T130:AA130)</f>
        <v>0</v>
      </c>
      <c r="AC130" s="31">
        <v>34262</v>
      </c>
      <c r="AD130" s="31"/>
      <c r="AE130" s="31">
        <v>36893</v>
      </c>
      <c r="AF130" s="31">
        <v>91831</v>
      </c>
    </row>
    <row r="131" spans="1:32" hidden="1" x14ac:dyDescent="0.25">
      <c r="A131" s="15" t="s">
        <v>165</v>
      </c>
      <c r="B131" s="6" t="s">
        <v>7</v>
      </c>
      <c r="C131" s="1"/>
      <c r="D131" s="6" t="s">
        <v>526</v>
      </c>
      <c r="E131" s="22" t="s">
        <v>6</v>
      </c>
      <c r="F131" s="1" t="s">
        <v>6</v>
      </c>
      <c r="G131" s="1">
        <v>0</v>
      </c>
      <c r="H131" s="1" t="s">
        <v>301</v>
      </c>
      <c r="I131" s="1" t="s">
        <v>301</v>
      </c>
      <c r="J131" s="1" t="s">
        <v>301</v>
      </c>
      <c r="K131" s="1">
        <v>0</v>
      </c>
      <c r="L131" s="1" t="s">
        <v>301</v>
      </c>
      <c r="M131" s="1" t="s">
        <v>301</v>
      </c>
      <c r="N131" s="1">
        <v>0</v>
      </c>
      <c r="O131" s="32">
        <f t="shared" si="5"/>
        <v>0</v>
      </c>
      <c r="P131" s="1" t="s">
        <v>301</v>
      </c>
      <c r="Q131" s="31"/>
      <c r="R131" s="1" t="s">
        <v>301</v>
      </c>
      <c r="S131" s="1" t="s">
        <v>301</v>
      </c>
      <c r="T131" s="31"/>
      <c r="U131" s="31"/>
      <c r="V131" s="31"/>
      <c r="W131" s="31"/>
      <c r="X131" s="31"/>
      <c r="Y131" s="31"/>
      <c r="Z131" s="31"/>
      <c r="AA131" s="31"/>
      <c r="AB131" s="31"/>
      <c r="AC131" s="31"/>
      <c r="AD131" s="31"/>
      <c r="AE131" s="31"/>
      <c r="AF131" s="31"/>
    </row>
    <row r="132" spans="1:32" x14ac:dyDescent="0.25">
      <c r="A132" s="15" t="s">
        <v>200</v>
      </c>
      <c r="B132" s="6" t="s">
        <v>7</v>
      </c>
      <c r="C132" s="1" t="s">
        <v>527</v>
      </c>
      <c r="D132" s="6" t="s">
        <v>527</v>
      </c>
      <c r="E132" s="22" t="s">
        <v>6</v>
      </c>
      <c r="F132" s="1" t="s">
        <v>214</v>
      </c>
      <c r="G132" s="38">
        <v>95856</v>
      </c>
      <c r="H132" s="38">
        <v>32983</v>
      </c>
      <c r="I132" s="38">
        <v>44345</v>
      </c>
      <c r="J132" s="38">
        <v>20957</v>
      </c>
      <c r="K132" s="1">
        <v>0</v>
      </c>
      <c r="L132" s="38">
        <v>232982</v>
      </c>
      <c r="M132" s="38">
        <v>9813</v>
      </c>
      <c r="N132" s="38">
        <v>650</v>
      </c>
      <c r="O132" s="55">
        <f t="shared" si="5"/>
        <v>437586</v>
      </c>
      <c r="P132" s="60">
        <v>456123</v>
      </c>
      <c r="Q132" s="31">
        <f t="shared" ref="Q132:Q138" si="6">SUBTOTAL(9,G132:J132)</f>
        <v>194141</v>
      </c>
      <c r="R132" s="38">
        <v>261459</v>
      </c>
      <c r="S132" s="1">
        <v>0</v>
      </c>
      <c r="T132" s="31">
        <v>92408</v>
      </c>
      <c r="U132" s="31">
        <v>29351</v>
      </c>
      <c r="V132" s="31">
        <v>41092</v>
      </c>
      <c r="W132" s="31">
        <v>4908</v>
      </c>
      <c r="X132" s="31">
        <v>0</v>
      </c>
      <c r="Y132" s="31">
        <v>269992</v>
      </c>
      <c r="Z132" s="31">
        <v>8146</v>
      </c>
      <c r="AA132" s="31">
        <v>750</v>
      </c>
      <c r="AB132" s="55">
        <f t="shared" ref="AB132:AB140" si="7">SUBTOTAL(9,T132:AA132)</f>
        <v>446647</v>
      </c>
      <c r="AC132" s="31">
        <v>455229</v>
      </c>
      <c r="AD132" s="31">
        <f t="shared" ref="AD132:AD138" si="8">SUBTOTAL(9,T132:W132)</f>
        <v>167759</v>
      </c>
      <c r="AE132" s="31">
        <v>244128</v>
      </c>
      <c r="AF132" s="31">
        <v>0</v>
      </c>
    </row>
    <row r="133" spans="1:32" hidden="1" x14ac:dyDescent="0.25">
      <c r="A133" s="11" t="s">
        <v>19</v>
      </c>
      <c r="B133" s="6" t="s">
        <v>7</v>
      </c>
      <c r="C133" s="1" t="s">
        <v>526</v>
      </c>
      <c r="D133" s="6" t="s">
        <v>526</v>
      </c>
      <c r="E133" s="22" t="s">
        <v>6</v>
      </c>
      <c r="F133" s="1" t="s">
        <v>221</v>
      </c>
      <c r="G133" s="1">
        <v>0</v>
      </c>
      <c r="H133" s="1">
        <v>1106</v>
      </c>
      <c r="I133" s="1">
        <v>0</v>
      </c>
      <c r="J133" s="1">
        <v>0</v>
      </c>
      <c r="K133" s="38">
        <v>1080</v>
      </c>
      <c r="L133" s="41">
        <v>668</v>
      </c>
      <c r="M133" s="41">
        <v>650</v>
      </c>
      <c r="N133" s="1">
        <v>0</v>
      </c>
      <c r="O133" s="32">
        <f t="shared" si="5"/>
        <v>0</v>
      </c>
      <c r="P133" s="41">
        <v>7695</v>
      </c>
      <c r="Q133" s="31">
        <f t="shared" si="6"/>
        <v>0</v>
      </c>
      <c r="R133" s="38">
        <v>12130</v>
      </c>
      <c r="S133" s="1">
        <v>0</v>
      </c>
      <c r="T133" s="31" t="s">
        <v>75</v>
      </c>
      <c r="U133" s="31">
        <v>778</v>
      </c>
      <c r="V133" s="31" t="s">
        <v>75</v>
      </c>
      <c r="W133" s="31">
        <v>1052</v>
      </c>
      <c r="X133" s="31">
        <v>1001.74</v>
      </c>
      <c r="Y133" s="31">
        <v>797</v>
      </c>
      <c r="Z133" s="31">
        <v>1031</v>
      </c>
      <c r="AA133" s="31">
        <v>0</v>
      </c>
      <c r="AB133" s="55">
        <f t="shared" si="7"/>
        <v>0</v>
      </c>
      <c r="AC133" s="31">
        <v>4659.74</v>
      </c>
      <c r="AD133" s="31">
        <f t="shared" si="8"/>
        <v>0</v>
      </c>
      <c r="AE133" s="31">
        <v>6030.76</v>
      </c>
      <c r="AF133" s="31">
        <v>0</v>
      </c>
    </row>
    <row r="134" spans="1:32" x14ac:dyDescent="0.25">
      <c r="A134" s="15" t="s">
        <v>201</v>
      </c>
      <c r="B134" s="6" t="s">
        <v>7</v>
      </c>
      <c r="C134" s="1" t="s">
        <v>527</v>
      </c>
      <c r="D134" s="6" t="s">
        <v>527</v>
      </c>
      <c r="E134" s="22" t="s">
        <v>6</v>
      </c>
      <c r="F134" s="1" t="s">
        <v>221</v>
      </c>
      <c r="G134" s="1">
        <v>0</v>
      </c>
      <c r="H134" s="41">
        <v>28330</v>
      </c>
      <c r="I134" s="41">
        <v>22402</v>
      </c>
      <c r="J134" s="1">
        <v>0</v>
      </c>
      <c r="K134" s="41">
        <v>350</v>
      </c>
      <c r="L134" s="41">
        <v>22063</v>
      </c>
      <c r="M134" s="41">
        <v>12210</v>
      </c>
      <c r="N134" s="1" t="s">
        <v>75</v>
      </c>
      <c r="O134" s="55">
        <f t="shared" si="5"/>
        <v>85355</v>
      </c>
      <c r="P134" s="58">
        <v>85355</v>
      </c>
      <c r="Q134" s="31">
        <f t="shared" si="6"/>
        <v>50732</v>
      </c>
      <c r="R134" s="42">
        <v>69695</v>
      </c>
      <c r="S134" s="41">
        <v>14200</v>
      </c>
      <c r="T134" s="31">
        <v>0</v>
      </c>
      <c r="U134" s="31">
        <v>58029</v>
      </c>
      <c r="V134" s="31">
        <v>25741</v>
      </c>
      <c r="W134" s="31">
        <v>3037</v>
      </c>
      <c r="X134" s="31">
        <v>0</v>
      </c>
      <c r="Y134" s="31">
        <v>23836</v>
      </c>
      <c r="Z134" s="31">
        <v>3125</v>
      </c>
      <c r="AA134" s="31">
        <v>750</v>
      </c>
      <c r="AB134" s="55">
        <f t="shared" si="7"/>
        <v>114518</v>
      </c>
      <c r="AC134" s="31">
        <v>88280</v>
      </c>
      <c r="AD134" s="31">
        <f t="shared" si="8"/>
        <v>86807</v>
      </c>
      <c r="AE134" s="31">
        <v>89023</v>
      </c>
      <c r="AF134" s="31">
        <v>16291</v>
      </c>
    </row>
    <row r="135" spans="1:32" x14ac:dyDescent="0.25">
      <c r="A135" s="15" t="s">
        <v>202</v>
      </c>
      <c r="B135" s="6" t="s">
        <v>7</v>
      </c>
      <c r="C135" s="1" t="s">
        <v>527</v>
      </c>
      <c r="D135" s="6" t="s">
        <v>527</v>
      </c>
      <c r="E135" s="22" t="s">
        <v>6</v>
      </c>
      <c r="F135" s="1" t="s">
        <v>221</v>
      </c>
      <c r="G135" s="1">
        <v>0</v>
      </c>
      <c r="H135" s="1">
        <v>0</v>
      </c>
      <c r="I135" s="1">
        <v>0</v>
      </c>
      <c r="J135" s="1">
        <v>0</v>
      </c>
      <c r="K135" s="42">
        <v>1515.79</v>
      </c>
      <c r="L135" s="42">
        <v>919.31</v>
      </c>
      <c r="M135" s="42">
        <v>37617</v>
      </c>
      <c r="N135" s="42">
        <v>2266.8000000000002</v>
      </c>
      <c r="O135" s="55">
        <f t="shared" si="5"/>
        <v>42318.9</v>
      </c>
      <c r="P135" s="56">
        <v>43723.92</v>
      </c>
      <c r="Q135" s="31">
        <f t="shared" si="6"/>
        <v>0</v>
      </c>
      <c r="R135" s="42">
        <v>23629.75</v>
      </c>
      <c r="S135" s="42">
        <v>3782.24</v>
      </c>
      <c r="T135" s="31">
        <v>0</v>
      </c>
      <c r="U135" s="31">
        <v>1425.36</v>
      </c>
      <c r="V135" s="31" t="s">
        <v>266</v>
      </c>
      <c r="W135" s="31">
        <v>838.35</v>
      </c>
      <c r="X135" s="31">
        <v>0</v>
      </c>
      <c r="Y135" s="31">
        <v>887.71</v>
      </c>
      <c r="Z135" s="31">
        <v>4022.82</v>
      </c>
      <c r="AA135" s="31">
        <v>1169.95</v>
      </c>
      <c r="AB135" s="55">
        <f t="shared" si="7"/>
        <v>8344.19</v>
      </c>
      <c r="AC135" s="31">
        <v>8344.2199999999993</v>
      </c>
      <c r="AD135" s="31">
        <f t="shared" si="8"/>
        <v>2263.71</v>
      </c>
      <c r="AE135" s="31">
        <v>17086.189999999999</v>
      </c>
      <c r="AF135" s="31">
        <v>1441.01</v>
      </c>
    </row>
    <row r="136" spans="1:32" x14ac:dyDescent="0.25">
      <c r="A136" s="15" t="s">
        <v>166</v>
      </c>
      <c r="B136" s="6" t="s">
        <v>7</v>
      </c>
      <c r="C136" s="1" t="s">
        <v>526</v>
      </c>
      <c r="D136" s="6" t="s">
        <v>526</v>
      </c>
      <c r="E136" s="22" t="s">
        <v>214</v>
      </c>
      <c r="F136" s="1" t="s">
        <v>6</v>
      </c>
      <c r="G136" s="39">
        <v>30515</v>
      </c>
      <c r="H136" s="39">
        <v>12724</v>
      </c>
      <c r="I136" s="1" t="s">
        <v>583</v>
      </c>
      <c r="J136" s="39">
        <v>5600</v>
      </c>
      <c r="K136" s="1" t="s">
        <v>301</v>
      </c>
      <c r="L136" s="39">
        <v>119000</v>
      </c>
      <c r="M136" s="1" t="s">
        <v>301</v>
      </c>
      <c r="N136" s="39">
        <v>4900</v>
      </c>
      <c r="O136" s="55">
        <f t="shared" si="5"/>
        <v>172739</v>
      </c>
      <c r="P136" s="57">
        <v>172665</v>
      </c>
      <c r="Q136" s="31">
        <f t="shared" si="6"/>
        <v>48839</v>
      </c>
      <c r="R136" s="39">
        <v>70463</v>
      </c>
      <c r="S136" s="39">
        <v>13154</v>
      </c>
      <c r="T136" s="31">
        <v>28489</v>
      </c>
      <c r="U136" s="31">
        <v>8442</v>
      </c>
      <c r="V136" s="31">
        <v>6777</v>
      </c>
      <c r="W136" s="31">
        <v>14557</v>
      </c>
      <c r="X136" s="31">
        <v>0</v>
      </c>
      <c r="Y136" s="31">
        <v>13668</v>
      </c>
      <c r="Z136" s="31">
        <v>2500</v>
      </c>
      <c r="AA136" s="31">
        <v>0</v>
      </c>
      <c r="AB136" s="55">
        <f t="shared" si="7"/>
        <v>74433</v>
      </c>
      <c r="AC136" s="31" t="s">
        <v>75</v>
      </c>
      <c r="AD136" s="31">
        <f t="shared" si="8"/>
        <v>58265</v>
      </c>
      <c r="AE136" s="31" t="s">
        <v>75</v>
      </c>
      <c r="AF136" s="31" t="s">
        <v>75</v>
      </c>
    </row>
    <row r="137" spans="1:32" hidden="1" x14ac:dyDescent="0.25">
      <c r="A137" s="15" t="s">
        <v>167</v>
      </c>
      <c r="B137" s="6" t="s">
        <v>7</v>
      </c>
      <c r="C137" s="1" t="s">
        <v>526</v>
      </c>
      <c r="D137" s="6" t="s">
        <v>526</v>
      </c>
      <c r="E137" s="22"/>
      <c r="F137" s="22" t="s">
        <v>214</v>
      </c>
      <c r="G137" s="22"/>
      <c r="H137" s="22"/>
      <c r="I137" s="22"/>
      <c r="J137" s="22"/>
      <c r="K137" s="22"/>
      <c r="L137" s="22"/>
      <c r="M137" s="22"/>
      <c r="N137" s="22"/>
      <c r="O137" s="32"/>
      <c r="P137" s="22"/>
      <c r="Q137" s="31">
        <f t="shared" si="6"/>
        <v>0</v>
      </c>
      <c r="R137" s="22"/>
      <c r="S137" s="22"/>
      <c r="T137" s="31">
        <v>14000</v>
      </c>
      <c r="U137" s="31">
        <v>2500</v>
      </c>
      <c r="V137" s="31">
        <v>350</v>
      </c>
      <c r="W137" s="31">
        <v>3100</v>
      </c>
      <c r="X137" s="31">
        <v>20000</v>
      </c>
      <c r="Y137" s="31">
        <v>100</v>
      </c>
      <c r="Z137" s="31" t="s">
        <v>75</v>
      </c>
      <c r="AA137" s="31" t="s">
        <v>75</v>
      </c>
      <c r="AB137" s="55">
        <f t="shared" si="7"/>
        <v>0</v>
      </c>
      <c r="AC137" s="31">
        <v>20000</v>
      </c>
      <c r="AD137" s="31">
        <f t="shared" si="8"/>
        <v>0</v>
      </c>
      <c r="AE137" s="31">
        <v>12000</v>
      </c>
      <c r="AF137" s="31" t="s">
        <v>75</v>
      </c>
    </row>
    <row r="138" spans="1:32" x14ac:dyDescent="0.25">
      <c r="A138" s="10" t="s">
        <v>131</v>
      </c>
      <c r="B138" s="6" t="s">
        <v>7</v>
      </c>
      <c r="C138" s="1" t="s">
        <v>527</v>
      </c>
      <c r="D138" s="6" t="s">
        <v>527</v>
      </c>
      <c r="E138" s="22" t="s">
        <v>214</v>
      </c>
      <c r="F138" s="1" t="s">
        <v>6</v>
      </c>
      <c r="G138" s="39">
        <v>35469</v>
      </c>
      <c r="H138" s="40">
        <v>3951.85</v>
      </c>
      <c r="I138" s="40">
        <v>5084.1499999999996</v>
      </c>
      <c r="J138" s="39">
        <v>15721</v>
      </c>
      <c r="K138" s="39">
        <v>8900</v>
      </c>
      <c r="L138" s="39">
        <v>60672</v>
      </c>
      <c r="M138" s="1" t="s">
        <v>266</v>
      </c>
      <c r="N138" s="39">
        <v>5000</v>
      </c>
      <c r="O138" s="55">
        <f>SUBTOTAL(9,G138:N138)</f>
        <v>134798</v>
      </c>
      <c r="P138" s="57">
        <v>135263</v>
      </c>
      <c r="Q138" s="31">
        <f t="shared" si="6"/>
        <v>60226</v>
      </c>
      <c r="R138" s="39">
        <v>146140</v>
      </c>
      <c r="S138" s="39">
        <v>83078</v>
      </c>
      <c r="T138" s="31">
        <v>9604</v>
      </c>
      <c r="U138" s="31">
        <v>10648</v>
      </c>
      <c r="V138" s="31">
        <v>4950</v>
      </c>
      <c r="W138" s="31">
        <v>30006</v>
      </c>
      <c r="X138" s="31">
        <v>8900</v>
      </c>
      <c r="Y138" s="31">
        <v>8383</v>
      </c>
      <c r="Z138" s="31">
        <v>1600</v>
      </c>
      <c r="AA138" s="31">
        <v>10855</v>
      </c>
      <c r="AB138" s="55">
        <f t="shared" si="7"/>
        <v>84946</v>
      </c>
      <c r="AC138" s="31">
        <v>11946</v>
      </c>
      <c r="AD138" s="31">
        <f t="shared" si="8"/>
        <v>55208</v>
      </c>
      <c r="AE138" s="31">
        <v>142166</v>
      </c>
      <c r="AF138" s="31">
        <v>93974</v>
      </c>
    </row>
    <row r="139" spans="1:32" hidden="1" x14ac:dyDescent="0.25">
      <c r="A139" s="15" t="s">
        <v>168</v>
      </c>
      <c r="B139" s="6" t="s">
        <v>9</v>
      </c>
      <c r="C139" s="1" t="s">
        <v>526</v>
      </c>
      <c r="D139" s="6" t="s">
        <v>526</v>
      </c>
      <c r="E139" s="22" t="s">
        <v>6</v>
      </c>
      <c r="F139" s="1" t="s">
        <v>221</v>
      </c>
      <c r="G139" s="1" t="s">
        <v>75</v>
      </c>
      <c r="H139" s="41">
        <v>1140</v>
      </c>
      <c r="I139" s="1" t="s">
        <v>75</v>
      </c>
      <c r="J139" s="1" t="s">
        <v>75</v>
      </c>
      <c r="K139" s="1" t="s">
        <v>75</v>
      </c>
      <c r="L139" s="41">
        <v>475</v>
      </c>
      <c r="M139" s="1" t="s">
        <v>75</v>
      </c>
      <c r="N139" s="1" t="s">
        <v>75</v>
      </c>
      <c r="O139" s="55">
        <f>SUBTOTAL(9,G139:N139)</f>
        <v>0</v>
      </c>
      <c r="P139" s="58">
        <v>1650</v>
      </c>
      <c r="Q139" s="35">
        <f>SUBTOTAL(9,G139:J139)</f>
        <v>0</v>
      </c>
      <c r="R139" s="41">
        <v>238</v>
      </c>
      <c r="S139" s="1">
        <v>0</v>
      </c>
      <c r="T139" s="31">
        <v>0</v>
      </c>
      <c r="U139" s="31">
        <v>640</v>
      </c>
      <c r="V139" s="31" t="s">
        <v>301</v>
      </c>
      <c r="W139" s="31" t="s">
        <v>301</v>
      </c>
      <c r="X139" s="31">
        <v>0</v>
      </c>
      <c r="Y139" s="31">
        <v>350</v>
      </c>
      <c r="Z139" s="31" t="s">
        <v>301</v>
      </c>
      <c r="AA139" s="31">
        <v>0</v>
      </c>
      <c r="AB139" s="55">
        <f t="shared" si="7"/>
        <v>0</v>
      </c>
      <c r="AC139" s="31">
        <v>990</v>
      </c>
      <c r="AD139" s="35">
        <f>SUBTOTAL(9,T139:W142)</f>
        <v>14939.900000000001</v>
      </c>
      <c r="AE139" s="31">
        <v>380</v>
      </c>
      <c r="AF139" s="31">
        <v>0</v>
      </c>
    </row>
    <row r="140" spans="1:32" x14ac:dyDescent="0.25">
      <c r="A140" s="12" t="s">
        <v>97</v>
      </c>
      <c r="B140" s="6" t="s">
        <v>7</v>
      </c>
      <c r="C140" s="1" t="s">
        <v>526</v>
      </c>
      <c r="D140" s="6" t="s">
        <v>526</v>
      </c>
      <c r="E140" s="22" t="s">
        <v>6</v>
      </c>
      <c r="F140" s="1" t="s">
        <v>320</v>
      </c>
      <c r="G140" s="1">
        <v>0</v>
      </c>
      <c r="H140" s="1">
        <v>5006.84</v>
      </c>
      <c r="I140" s="1">
        <v>0</v>
      </c>
      <c r="J140" s="1">
        <v>9555.2900000000009</v>
      </c>
      <c r="K140" s="1">
        <v>500</v>
      </c>
      <c r="L140" s="1">
        <v>1622.08</v>
      </c>
      <c r="M140" s="1">
        <v>8935.67</v>
      </c>
      <c r="N140" s="1">
        <v>0</v>
      </c>
      <c r="O140" s="55">
        <f>SUBTOTAL(9,G140:N140)</f>
        <v>25619.879999999997</v>
      </c>
      <c r="P140" s="13">
        <v>25619.88</v>
      </c>
      <c r="Q140" s="31">
        <f>SUBTOTAL(9,G140:J140)</f>
        <v>14562.130000000001</v>
      </c>
      <c r="R140" s="1">
        <v>34725.08</v>
      </c>
      <c r="S140" s="1">
        <v>26000</v>
      </c>
      <c r="T140" s="31" t="s">
        <v>75</v>
      </c>
      <c r="U140" s="31">
        <v>5221.38</v>
      </c>
      <c r="V140" s="31" t="s">
        <v>75</v>
      </c>
      <c r="W140" s="31">
        <v>9718.52</v>
      </c>
      <c r="X140" s="31">
        <v>20000</v>
      </c>
      <c r="Y140" s="31">
        <v>2515.1</v>
      </c>
      <c r="Z140" s="31">
        <v>9549.77</v>
      </c>
      <c r="AA140" s="31">
        <v>1698</v>
      </c>
      <c r="AB140" s="55">
        <f t="shared" si="7"/>
        <v>48702.770000000004</v>
      </c>
      <c r="AC140" s="31">
        <v>48702.77</v>
      </c>
      <c r="AD140" s="31">
        <f>SUBTOTAL(9,T140:W140)</f>
        <v>14939.900000000001</v>
      </c>
      <c r="AE140" s="31">
        <v>40806.26</v>
      </c>
      <c r="AF140" s="31">
        <v>32708.400000000001</v>
      </c>
    </row>
    <row r="141" spans="1:32" hidden="1" x14ac:dyDescent="0.25">
      <c r="A141" s="12" t="s">
        <v>98</v>
      </c>
      <c r="B141" s="6" t="s">
        <v>7</v>
      </c>
      <c r="C141" s="1"/>
      <c r="D141" s="6" t="s">
        <v>526</v>
      </c>
      <c r="E141" s="22" t="s">
        <v>214</v>
      </c>
      <c r="F141" s="1" t="s">
        <v>6</v>
      </c>
      <c r="G141" s="1" t="s">
        <v>75</v>
      </c>
      <c r="H141" s="1" t="s">
        <v>75</v>
      </c>
      <c r="I141" s="1" t="s">
        <v>75</v>
      </c>
      <c r="J141" s="1" t="s">
        <v>75</v>
      </c>
      <c r="K141" s="1" t="s">
        <v>75</v>
      </c>
      <c r="L141" s="1" t="s">
        <v>75</v>
      </c>
      <c r="M141" s="1" t="s">
        <v>75</v>
      </c>
      <c r="N141" s="1" t="s">
        <v>75</v>
      </c>
      <c r="O141" s="32"/>
      <c r="P141" s="1" t="s">
        <v>75</v>
      </c>
      <c r="Q141" s="31"/>
      <c r="R141" s="1" t="s">
        <v>75</v>
      </c>
      <c r="S141" s="1" t="s">
        <v>75</v>
      </c>
      <c r="T141" s="31"/>
      <c r="U141" s="31"/>
      <c r="V141" s="31"/>
      <c r="W141" s="31"/>
      <c r="X141" s="31"/>
      <c r="Y141" s="31"/>
      <c r="Z141" s="31"/>
      <c r="AA141" s="31"/>
      <c r="AB141" s="31"/>
      <c r="AC141" s="31"/>
      <c r="AD141" s="31"/>
      <c r="AE141" s="31"/>
      <c r="AF141" s="31"/>
    </row>
    <row r="142" spans="1:32" hidden="1" x14ac:dyDescent="0.25">
      <c r="A142" s="11" t="s">
        <v>132</v>
      </c>
      <c r="B142" s="6" t="s">
        <v>58</v>
      </c>
      <c r="C142" s="1" t="s">
        <v>614</v>
      </c>
      <c r="D142" s="6" t="s">
        <v>529</v>
      </c>
      <c r="E142" s="22" t="s">
        <v>6</v>
      </c>
      <c r="F142" s="1" t="s">
        <v>221</v>
      </c>
      <c r="G142" s="1">
        <v>0</v>
      </c>
      <c r="H142" s="39">
        <v>25000</v>
      </c>
      <c r="I142" s="1" t="s">
        <v>457</v>
      </c>
      <c r="J142" s="1" t="s">
        <v>458</v>
      </c>
      <c r="K142" s="1" t="s">
        <v>459</v>
      </c>
      <c r="L142" s="39">
        <v>20000</v>
      </c>
      <c r="M142" s="1">
        <v>0</v>
      </c>
      <c r="N142" s="1">
        <v>0</v>
      </c>
      <c r="O142" s="32">
        <f>SUBTOTAL(9,G142:N142)</f>
        <v>0</v>
      </c>
      <c r="P142" s="1" t="s">
        <v>75</v>
      </c>
      <c r="Q142" s="31"/>
      <c r="R142" s="1" t="s">
        <v>75</v>
      </c>
      <c r="S142" s="1" t="s">
        <v>75</v>
      </c>
      <c r="T142" s="31">
        <v>0</v>
      </c>
      <c r="U142" s="31" t="s">
        <v>661</v>
      </c>
      <c r="V142" s="31" t="s">
        <v>661</v>
      </c>
      <c r="W142" s="31" t="s">
        <v>661</v>
      </c>
      <c r="X142" s="31" t="s">
        <v>661</v>
      </c>
      <c r="Y142" s="31" t="s">
        <v>661</v>
      </c>
      <c r="Z142" s="31" t="s">
        <v>661</v>
      </c>
      <c r="AA142" s="31" t="s">
        <v>661</v>
      </c>
      <c r="AB142" s="31"/>
      <c r="AC142" s="31" t="s">
        <v>661</v>
      </c>
      <c r="AD142" s="31"/>
      <c r="AE142" s="31" t="s">
        <v>661</v>
      </c>
      <c r="AF142" s="31" t="s">
        <v>661</v>
      </c>
    </row>
    <row r="143" spans="1:32" hidden="1" x14ac:dyDescent="0.25">
      <c r="A143" s="11" t="s">
        <v>133</v>
      </c>
      <c r="B143" s="6" t="s">
        <v>7</v>
      </c>
      <c r="C143" s="1" t="s">
        <v>526</v>
      </c>
      <c r="D143" s="6" t="s">
        <v>526</v>
      </c>
      <c r="E143" s="22"/>
      <c r="F143" s="22" t="s">
        <v>295</v>
      </c>
      <c r="G143" s="22"/>
      <c r="H143" s="22"/>
      <c r="I143" s="22"/>
      <c r="J143" s="22"/>
      <c r="K143" s="22"/>
      <c r="L143" s="22"/>
      <c r="M143" s="22"/>
      <c r="N143" s="22"/>
      <c r="O143" s="32"/>
      <c r="P143" s="22"/>
      <c r="Q143" s="31">
        <f>SUBTOTAL(9,G143:J143)</f>
        <v>0</v>
      </c>
      <c r="R143" s="22"/>
      <c r="S143" s="22"/>
      <c r="T143" s="31">
        <v>0</v>
      </c>
      <c r="U143" s="31">
        <v>0</v>
      </c>
      <c r="V143" s="31">
        <v>0</v>
      </c>
      <c r="W143" s="31">
        <v>0</v>
      </c>
      <c r="X143" s="31">
        <v>1150</v>
      </c>
      <c r="Y143" s="31">
        <v>20</v>
      </c>
      <c r="Z143" s="31">
        <v>0</v>
      </c>
      <c r="AA143" s="31">
        <v>1150</v>
      </c>
      <c r="AB143" s="55">
        <f>SUBTOTAL(9,T143:AA143)</f>
        <v>0</v>
      </c>
      <c r="AC143" s="31">
        <v>1170</v>
      </c>
      <c r="AD143" s="31">
        <f>SUBTOTAL(9,T143:W143)</f>
        <v>0</v>
      </c>
      <c r="AE143" s="31">
        <v>1100</v>
      </c>
      <c r="AF143" s="31">
        <v>0</v>
      </c>
    </row>
    <row r="144" spans="1:32" x14ac:dyDescent="0.25">
      <c r="A144" s="15" t="s">
        <v>203</v>
      </c>
      <c r="B144" s="6" t="s">
        <v>7</v>
      </c>
      <c r="C144" s="1" t="s">
        <v>526</v>
      </c>
      <c r="D144" s="6" t="s">
        <v>526</v>
      </c>
      <c r="E144" s="22" t="s">
        <v>6</v>
      </c>
      <c r="F144" s="1" t="s">
        <v>6</v>
      </c>
      <c r="G144" s="41">
        <v>6156</v>
      </c>
      <c r="H144" s="41">
        <v>1879</v>
      </c>
      <c r="I144" s="41">
        <v>3438</v>
      </c>
      <c r="J144" s="1">
        <v>0</v>
      </c>
      <c r="K144" s="1">
        <v>0</v>
      </c>
      <c r="L144" s="41">
        <v>1996</v>
      </c>
      <c r="M144" s="41">
        <v>4177</v>
      </c>
      <c r="N144" s="1">
        <v>0</v>
      </c>
      <c r="O144" s="55">
        <f>SUBTOTAL(9,G144:N144)</f>
        <v>17646</v>
      </c>
      <c r="P144" s="58">
        <v>17746</v>
      </c>
      <c r="Q144" s="31">
        <f>SUBTOTAL(9,G144:J144)</f>
        <v>11473</v>
      </c>
      <c r="R144" s="41">
        <v>11917</v>
      </c>
      <c r="S144" s="1">
        <v>0</v>
      </c>
      <c r="T144" s="31">
        <v>6476</v>
      </c>
      <c r="U144" s="31">
        <v>2014</v>
      </c>
      <c r="V144" s="31">
        <v>3023</v>
      </c>
      <c r="W144" s="31">
        <v>0</v>
      </c>
      <c r="X144" s="31">
        <v>0</v>
      </c>
      <c r="Y144" s="31">
        <v>2721</v>
      </c>
      <c r="Z144" s="31">
        <v>3807</v>
      </c>
      <c r="AA144" s="31">
        <v>0</v>
      </c>
      <c r="AB144" s="55">
        <f>SUBTOTAL(9,T144:AA144)</f>
        <v>18041</v>
      </c>
      <c r="AC144" s="31">
        <v>18041</v>
      </c>
      <c r="AD144" s="31">
        <f>SUBTOTAL(9,T144:W144)</f>
        <v>11513</v>
      </c>
      <c r="AE144" s="31">
        <v>12665</v>
      </c>
      <c r="AF144" s="31">
        <v>0</v>
      </c>
    </row>
    <row r="145" spans="1:32" hidden="1" x14ac:dyDescent="0.25">
      <c r="A145" s="12" t="s">
        <v>99</v>
      </c>
      <c r="B145" s="6" t="s">
        <v>7</v>
      </c>
      <c r="C145" s="1"/>
      <c r="D145" s="6" t="s">
        <v>527</v>
      </c>
      <c r="E145" s="22" t="s">
        <v>214</v>
      </c>
      <c r="F145" s="1" t="s">
        <v>6</v>
      </c>
      <c r="G145" s="41">
        <v>10100</v>
      </c>
      <c r="H145" s="41">
        <v>460</v>
      </c>
      <c r="I145" s="41">
        <v>3900</v>
      </c>
      <c r="J145" s="41">
        <v>60000</v>
      </c>
      <c r="K145" s="1">
        <v>0</v>
      </c>
      <c r="L145" s="41">
        <v>3400</v>
      </c>
      <c r="M145" s="41">
        <v>12000</v>
      </c>
      <c r="N145" s="38">
        <v>57500</v>
      </c>
      <c r="O145" s="55">
        <f>SUBTOTAL(9,G145:N145)</f>
        <v>0</v>
      </c>
      <c r="P145" s="58">
        <v>95400</v>
      </c>
      <c r="Q145" s="31"/>
      <c r="R145" s="41">
        <v>97370</v>
      </c>
      <c r="S145" s="41">
        <v>28660</v>
      </c>
      <c r="T145" s="31"/>
      <c r="U145" s="31"/>
      <c r="V145" s="31"/>
      <c r="W145" s="31"/>
      <c r="X145" s="31"/>
      <c r="Y145" s="31"/>
      <c r="Z145" s="31"/>
      <c r="AA145" s="31"/>
      <c r="AB145" s="31"/>
      <c r="AC145" s="31"/>
      <c r="AD145" s="31"/>
      <c r="AE145" s="31"/>
      <c r="AF145" s="31"/>
    </row>
    <row r="146" spans="1:32" hidden="1" x14ac:dyDescent="0.25">
      <c r="A146" s="7" t="s">
        <v>56</v>
      </c>
      <c r="B146" s="6" t="s">
        <v>27</v>
      </c>
      <c r="C146" s="1" t="s">
        <v>528</v>
      </c>
      <c r="D146" s="6" t="s">
        <v>528</v>
      </c>
      <c r="E146" s="22" t="s">
        <v>6</v>
      </c>
      <c r="F146" s="1" t="s">
        <v>221</v>
      </c>
      <c r="G146" s="1">
        <v>0</v>
      </c>
      <c r="H146" s="1" t="s">
        <v>266</v>
      </c>
      <c r="I146" s="1">
        <v>0</v>
      </c>
      <c r="J146" s="1" t="s">
        <v>266</v>
      </c>
      <c r="K146" s="1">
        <v>160000</v>
      </c>
      <c r="L146" s="1">
        <v>8500</v>
      </c>
      <c r="M146" s="1" t="s">
        <v>266</v>
      </c>
      <c r="N146" s="1">
        <v>50000</v>
      </c>
      <c r="O146" s="32">
        <f>SUBTOTAL(9,G146:N146)</f>
        <v>0</v>
      </c>
      <c r="P146" s="1" t="s">
        <v>266</v>
      </c>
      <c r="Q146" s="31"/>
      <c r="R146" s="1" t="s">
        <v>266</v>
      </c>
      <c r="S146" s="1" t="s">
        <v>266</v>
      </c>
      <c r="T146" s="31" t="s">
        <v>75</v>
      </c>
      <c r="U146" s="31" t="s">
        <v>75</v>
      </c>
      <c r="V146" s="31" t="s">
        <v>75</v>
      </c>
      <c r="W146" s="31" t="s">
        <v>75</v>
      </c>
      <c r="X146" s="31" t="s">
        <v>75</v>
      </c>
      <c r="Y146" s="31" t="s">
        <v>75</v>
      </c>
      <c r="Z146" s="31" t="s">
        <v>75</v>
      </c>
      <c r="AA146" s="31" t="s">
        <v>75</v>
      </c>
      <c r="AB146" s="31"/>
      <c r="AC146" s="31" t="s">
        <v>75</v>
      </c>
      <c r="AD146" s="31"/>
      <c r="AE146" s="31" t="s">
        <v>75</v>
      </c>
      <c r="AF146" s="31" t="s">
        <v>75</v>
      </c>
    </row>
    <row r="147" spans="1:32" hidden="1" x14ac:dyDescent="0.25">
      <c r="A147" s="15" t="s">
        <v>204</v>
      </c>
      <c r="B147" s="6" t="s">
        <v>7</v>
      </c>
      <c r="C147" s="1" t="s">
        <v>526</v>
      </c>
      <c r="D147" s="6" t="s">
        <v>526</v>
      </c>
      <c r="E147" s="22" t="s">
        <v>214</v>
      </c>
      <c r="F147" s="1" t="s">
        <v>221</v>
      </c>
      <c r="G147" s="1">
        <v>0</v>
      </c>
      <c r="H147" s="40">
        <v>2594.19</v>
      </c>
      <c r="I147" s="1">
        <v>0</v>
      </c>
      <c r="J147" s="1">
        <v>0</v>
      </c>
      <c r="K147" s="1">
        <v>0</v>
      </c>
      <c r="L147" s="1">
        <v>7598.23</v>
      </c>
      <c r="M147" s="39">
        <v>1010</v>
      </c>
      <c r="N147" s="39">
        <v>1000</v>
      </c>
      <c r="O147" s="55">
        <f>SUBTOTAL(9,G147:N147)</f>
        <v>0</v>
      </c>
      <c r="P147" s="13">
        <v>12202.42</v>
      </c>
      <c r="Q147" s="31"/>
      <c r="R147" s="40">
        <v>12996.82</v>
      </c>
      <c r="S147" s="1">
        <v>0</v>
      </c>
      <c r="T147" s="31">
        <v>0</v>
      </c>
      <c r="U147" s="31">
        <v>0</v>
      </c>
      <c r="V147" s="31">
        <v>0</v>
      </c>
      <c r="W147" s="31">
        <v>0</v>
      </c>
      <c r="X147" s="31">
        <v>0</v>
      </c>
      <c r="Y147" s="31" t="s">
        <v>75</v>
      </c>
      <c r="Z147" s="31">
        <v>0</v>
      </c>
      <c r="AA147" s="31">
        <v>0</v>
      </c>
      <c r="AB147" s="31">
        <f>SUBTOTAL(9,T147:AA147)</f>
        <v>0</v>
      </c>
      <c r="AC147" s="31">
        <v>12200.14</v>
      </c>
      <c r="AD147" s="31"/>
      <c r="AE147" s="31">
        <v>12093.16</v>
      </c>
      <c r="AF147" s="31">
        <v>0</v>
      </c>
    </row>
    <row r="148" spans="1:32" hidden="1" x14ac:dyDescent="0.25">
      <c r="A148" s="12" t="s">
        <v>57</v>
      </c>
      <c r="B148" s="6" t="s">
        <v>58</v>
      </c>
      <c r="C148" s="1" t="s">
        <v>614</v>
      </c>
      <c r="D148" s="6" t="s">
        <v>529</v>
      </c>
      <c r="E148" s="22" t="s">
        <v>6</v>
      </c>
      <c r="F148" s="1" t="s">
        <v>6</v>
      </c>
      <c r="G148" s="38">
        <v>2094075</v>
      </c>
      <c r="H148" s="1" t="s">
        <v>266</v>
      </c>
      <c r="I148" s="1" t="s">
        <v>266</v>
      </c>
      <c r="J148" s="1" t="s">
        <v>348</v>
      </c>
      <c r="K148" s="1" t="s">
        <v>348</v>
      </c>
      <c r="L148" s="1" t="s">
        <v>348</v>
      </c>
      <c r="M148" s="1" t="s">
        <v>348</v>
      </c>
      <c r="N148" s="1" t="s">
        <v>348</v>
      </c>
      <c r="O148" s="32" t="s">
        <v>612</v>
      </c>
      <c r="P148" s="1" t="s">
        <v>348</v>
      </c>
      <c r="Q148" s="31"/>
      <c r="R148" s="1" t="s">
        <v>348</v>
      </c>
      <c r="S148" s="1" t="s">
        <v>348</v>
      </c>
      <c r="T148" s="31">
        <v>2306205</v>
      </c>
      <c r="U148" s="31">
        <v>1034682</v>
      </c>
      <c r="V148" s="31">
        <v>232861</v>
      </c>
      <c r="W148" s="31">
        <v>3332645</v>
      </c>
      <c r="X148" s="31">
        <v>23870000</v>
      </c>
      <c r="Y148" s="31">
        <v>28915</v>
      </c>
      <c r="Z148" s="31">
        <v>257560</v>
      </c>
      <c r="AA148" s="31">
        <v>2467286</v>
      </c>
      <c r="AB148" s="32" t="s">
        <v>612</v>
      </c>
      <c r="AC148" s="31" t="s">
        <v>662</v>
      </c>
      <c r="AD148" s="31"/>
      <c r="AE148" s="31" t="s">
        <v>663</v>
      </c>
      <c r="AF148" s="31" t="s">
        <v>664</v>
      </c>
    </row>
    <row r="149" spans="1:32" hidden="1" x14ac:dyDescent="0.25">
      <c r="A149" s="11" t="s">
        <v>100</v>
      </c>
      <c r="B149" s="6" t="s">
        <v>7</v>
      </c>
      <c r="C149" s="1"/>
      <c r="D149" s="6" t="s">
        <v>526</v>
      </c>
      <c r="E149" s="22" t="s">
        <v>6</v>
      </c>
      <c r="F149" s="1" t="s">
        <v>6</v>
      </c>
      <c r="G149" s="1">
        <v>0</v>
      </c>
      <c r="H149" s="1" t="s">
        <v>301</v>
      </c>
      <c r="I149" s="1" t="s">
        <v>301</v>
      </c>
      <c r="J149" s="1" t="s">
        <v>301</v>
      </c>
      <c r="K149" s="1" t="s">
        <v>301</v>
      </c>
      <c r="L149" s="1" t="s">
        <v>301</v>
      </c>
      <c r="M149" s="1" t="s">
        <v>301</v>
      </c>
      <c r="N149" s="1" t="s">
        <v>301</v>
      </c>
      <c r="O149" s="32">
        <f t="shared" ref="O149:O183" si="9">SUBTOTAL(9,G149:N149)</f>
        <v>0</v>
      </c>
      <c r="P149" s="1" t="s">
        <v>301</v>
      </c>
      <c r="Q149" s="31"/>
      <c r="R149" s="1" t="s">
        <v>301</v>
      </c>
      <c r="S149" s="1" t="s">
        <v>301</v>
      </c>
      <c r="T149" s="31"/>
      <c r="U149" s="31"/>
      <c r="V149" s="31"/>
      <c r="W149" s="31"/>
      <c r="X149" s="31"/>
      <c r="Y149" s="31"/>
      <c r="Z149" s="31"/>
      <c r="AA149" s="31"/>
      <c r="AB149" s="31"/>
      <c r="AC149" s="31"/>
      <c r="AD149" s="31"/>
      <c r="AE149" s="31"/>
      <c r="AF149" s="31"/>
    </row>
    <row r="150" spans="1:32" hidden="1" x14ac:dyDescent="0.25">
      <c r="A150" s="11" t="s">
        <v>101</v>
      </c>
      <c r="B150" s="6" t="s">
        <v>7</v>
      </c>
      <c r="C150" s="1"/>
      <c r="D150" s="6" t="s">
        <v>526</v>
      </c>
      <c r="E150" s="22" t="s">
        <v>214</v>
      </c>
      <c r="F150" s="1" t="s">
        <v>6</v>
      </c>
      <c r="G150" s="1">
        <v>7649</v>
      </c>
      <c r="H150" s="1">
        <v>13929</v>
      </c>
      <c r="I150" s="1">
        <v>0</v>
      </c>
      <c r="J150" s="1">
        <v>81155</v>
      </c>
      <c r="K150" s="1">
        <v>83563</v>
      </c>
      <c r="L150" s="1">
        <v>3352</v>
      </c>
      <c r="M150" s="1">
        <v>0</v>
      </c>
      <c r="N150" s="1">
        <v>0</v>
      </c>
      <c r="O150" s="55">
        <f t="shared" si="9"/>
        <v>0</v>
      </c>
      <c r="P150" s="13">
        <v>189648</v>
      </c>
      <c r="Q150" s="31"/>
      <c r="R150" s="1">
        <v>163144</v>
      </c>
      <c r="S150" s="1">
        <v>133025</v>
      </c>
      <c r="T150" s="31"/>
      <c r="U150" s="31"/>
      <c r="V150" s="31"/>
      <c r="W150" s="31"/>
      <c r="X150" s="31"/>
      <c r="Y150" s="31"/>
      <c r="Z150" s="31"/>
      <c r="AA150" s="31"/>
      <c r="AB150" s="31"/>
      <c r="AC150" s="31"/>
      <c r="AD150" s="31"/>
      <c r="AE150" s="31"/>
      <c r="AF150" s="31"/>
    </row>
    <row r="151" spans="1:32" x14ac:dyDescent="0.25">
      <c r="A151" s="10" t="s">
        <v>134</v>
      </c>
      <c r="B151" s="6" t="s">
        <v>7</v>
      </c>
      <c r="C151" s="1" t="s">
        <v>527</v>
      </c>
      <c r="D151" s="6" t="s">
        <v>527</v>
      </c>
      <c r="E151" s="22" t="s">
        <v>214</v>
      </c>
      <c r="F151" s="1" t="s">
        <v>6</v>
      </c>
      <c r="G151" s="38">
        <v>90033</v>
      </c>
      <c r="H151" s="38">
        <v>43580</v>
      </c>
      <c r="I151" s="38">
        <v>16087</v>
      </c>
      <c r="J151" s="38">
        <v>722</v>
      </c>
      <c r="K151" s="38">
        <v>0</v>
      </c>
      <c r="L151" s="38">
        <v>20719</v>
      </c>
      <c r="M151" s="38">
        <v>36498</v>
      </c>
      <c r="N151" s="38">
        <v>43000</v>
      </c>
      <c r="O151" s="55">
        <f t="shared" si="9"/>
        <v>250639</v>
      </c>
      <c r="P151" s="60">
        <v>250850</v>
      </c>
      <c r="Q151" s="31">
        <f>SUBTOTAL(9,G151:J151)</f>
        <v>150422</v>
      </c>
      <c r="R151" s="38">
        <v>212850</v>
      </c>
      <c r="S151" s="38">
        <v>16139</v>
      </c>
      <c r="T151" s="31">
        <v>82000</v>
      </c>
      <c r="U151" s="31">
        <v>55000</v>
      </c>
      <c r="V151" s="31">
        <v>10000</v>
      </c>
      <c r="W151" s="31">
        <v>0</v>
      </c>
      <c r="X151" s="31">
        <v>0</v>
      </c>
      <c r="Y151" s="31">
        <v>20000</v>
      </c>
      <c r="Z151" s="31">
        <v>4000</v>
      </c>
      <c r="AA151" s="31">
        <v>45000</v>
      </c>
      <c r="AB151" s="55">
        <f>SUBTOTAL(9,T151:AA151)</f>
        <v>216000</v>
      </c>
      <c r="AC151" s="31">
        <v>175000</v>
      </c>
      <c r="AD151" s="31">
        <f>SUBTOTAL(9,T151:W151)</f>
        <v>147000</v>
      </c>
      <c r="AE151" s="31">
        <v>154000</v>
      </c>
      <c r="AF151" s="31">
        <v>6000</v>
      </c>
    </row>
    <row r="152" spans="1:32" hidden="1" x14ac:dyDescent="0.25">
      <c r="A152" s="8" t="s">
        <v>206</v>
      </c>
      <c r="B152" s="6" t="s">
        <v>7</v>
      </c>
      <c r="C152" s="1"/>
      <c r="D152" s="6"/>
      <c r="E152" s="22"/>
      <c r="F152" s="22" t="s">
        <v>214</v>
      </c>
      <c r="G152" s="22"/>
      <c r="H152" s="22"/>
      <c r="I152" s="22"/>
      <c r="J152" s="22"/>
      <c r="K152" s="22"/>
      <c r="L152" s="22"/>
      <c r="M152" s="22"/>
      <c r="N152" s="22"/>
      <c r="O152" s="32">
        <f t="shared" si="9"/>
        <v>0</v>
      </c>
      <c r="P152" s="22"/>
      <c r="Q152" s="31"/>
      <c r="R152" s="22"/>
      <c r="S152" s="22"/>
      <c r="T152" s="31"/>
      <c r="U152" s="31"/>
      <c r="V152" s="31"/>
      <c r="W152" s="31"/>
      <c r="X152" s="31"/>
      <c r="Y152" s="31"/>
      <c r="Z152" s="31"/>
      <c r="AA152" s="31"/>
      <c r="AB152" s="31"/>
      <c r="AC152" s="31"/>
      <c r="AD152" s="31"/>
      <c r="AE152" s="31"/>
      <c r="AF152" s="31"/>
    </row>
    <row r="153" spans="1:32" hidden="1" x14ac:dyDescent="0.25">
      <c r="A153" s="15" t="s">
        <v>169</v>
      </c>
      <c r="B153" s="6" t="s">
        <v>7</v>
      </c>
      <c r="C153" s="1" t="s">
        <v>527</v>
      </c>
      <c r="D153" s="6" t="s">
        <v>527</v>
      </c>
      <c r="E153" s="22" t="s">
        <v>6</v>
      </c>
      <c r="F153" s="1" t="s">
        <v>221</v>
      </c>
      <c r="G153" s="1">
        <v>0</v>
      </c>
      <c r="H153" s="1">
        <v>0</v>
      </c>
      <c r="I153" s="1">
        <v>0</v>
      </c>
      <c r="J153" s="1">
        <v>1061</v>
      </c>
      <c r="K153" s="1">
        <v>0</v>
      </c>
      <c r="L153" s="1">
        <v>7327</v>
      </c>
      <c r="M153" s="1">
        <v>0</v>
      </c>
      <c r="N153" s="1">
        <v>400</v>
      </c>
      <c r="O153" s="32">
        <f t="shared" si="9"/>
        <v>0</v>
      </c>
      <c r="P153" s="1" t="s">
        <v>75</v>
      </c>
      <c r="Q153" s="31"/>
      <c r="R153" s="1" t="s">
        <v>75</v>
      </c>
      <c r="S153" s="1" t="s">
        <v>75</v>
      </c>
      <c r="T153" s="31">
        <v>0</v>
      </c>
      <c r="U153" s="31" t="s">
        <v>75</v>
      </c>
      <c r="V153" s="31">
        <v>0</v>
      </c>
      <c r="W153" s="31" t="s">
        <v>75</v>
      </c>
      <c r="X153" s="31" t="s">
        <v>75</v>
      </c>
      <c r="Y153" s="31" t="s">
        <v>75</v>
      </c>
      <c r="Z153" s="31" t="s">
        <v>75</v>
      </c>
      <c r="AA153" s="31" t="s">
        <v>75</v>
      </c>
      <c r="AB153" s="31"/>
      <c r="AC153" s="31" t="s">
        <v>75</v>
      </c>
      <c r="AD153" s="31"/>
      <c r="AE153" s="31" t="s">
        <v>75</v>
      </c>
      <c r="AF153" s="31" t="s">
        <v>75</v>
      </c>
    </row>
    <row r="154" spans="1:32" hidden="1" x14ac:dyDescent="0.25">
      <c r="A154" s="12" t="s">
        <v>102</v>
      </c>
      <c r="B154" s="6" t="s">
        <v>9</v>
      </c>
      <c r="C154" s="1" t="s">
        <v>526</v>
      </c>
      <c r="D154" s="6" t="s">
        <v>526</v>
      </c>
      <c r="E154" s="22"/>
      <c r="F154" s="22" t="s">
        <v>295</v>
      </c>
      <c r="G154" s="22"/>
      <c r="H154" s="22"/>
      <c r="I154" s="22"/>
      <c r="J154" s="22"/>
      <c r="K154" s="22"/>
      <c r="L154" s="22"/>
      <c r="M154" s="22"/>
      <c r="N154" s="22"/>
      <c r="O154" s="32">
        <f t="shared" si="9"/>
        <v>0</v>
      </c>
      <c r="P154" s="22"/>
      <c r="Q154" s="35">
        <f>SUBTOTAL(9,G154:J157)</f>
        <v>18070.689999999999</v>
      </c>
      <c r="R154" s="22"/>
      <c r="S154" s="22"/>
      <c r="T154" s="31" t="s">
        <v>75</v>
      </c>
      <c r="U154" s="31" t="s">
        <v>75</v>
      </c>
      <c r="V154" s="31" t="s">
        <v>75</v>
      </c>
      <c r="W154" s="31" t="s">
        <v>75</v>
      </c>
      <c r="X154" s="31" t="s">
        <v>75</v>
      </c>
      <c r="Y154" s="31">
        <v>833</v>
      </c>
      <c r="Z154" s="31" t="s">
        <v>75</v>
      </c>
      <c r="AA154" s="31" t="s">
        <v>75</v>
      </c>
      <c r="AB154" s="55">
        <f>SUBTOTAL(9,T154:AA154)</f>
        <v>0</v>
      </c>
      <c r="AC154" s="31">
        <v>833</v>
      </c>
      <c r="AD154" s="35">
        <f>SUBTOTAL(9,T154:W157)</f>
        <v>16188.93</v>
      </c>
      <c r="AE154" s="31">
        <v>0</v>
      </c>
      <c r="AF154" s="31">
        <v>0</v>
      </c>
    </row>
    <row r="155" spans="1:32" x14ac:dyDescent="0.25">
      <c r="A155" s="15" t="s">
        <v>213</v>
      </c>
      <c r="B155" s="6" t="s">
        <v>7</v>
      </c>
      <c r="C155" s="1" t="s">
        <v>526</v>
      </c>
      <c r="D155" s="6" t="s">
        <v>526</v>
      </c>
      <c r="E155" s="22" t="s">
        <v>6</v>
      </c>
      <c r="F155" s="1" t="s">
        <v>6</v>
      </c>
      <c r="G155" s="1">
        <v>9711.39</v>
      </c>
      <c r="H155" s="1">
        <v>3318.17</v>
      </c>
      <c r="I155" s="1">
        <v>2804.13</v>
      </c>
      <c r="J155" s="1">
        <v>2237</v>
      </c>
      <c r="K155" s="1">
        <v>0</v>
      </c>
      <c r="L155" s="1">
        <v>700</v>
      </c>
      <c r="M155" s="1">
        <v>2986</v>
      </c>
      <c r="N155" s="1">
        <v>0</v>
      </c>
      <c r="O155" s="55">
        <f t="shared" si="9"/>
        <v>21756.69</v>
      </c>
      <c r="P155" s="13">
        <v>21756.69</v>
      </c>
      <c r="Q155" s="31">
        <f>SUBTOTAL(9,G155:J155)</f>
        <v>18070.689999999999</v>
      </c>
      <c r="R155" s="1">
        <v>29111.8</v>
      </c>
      <c r="S155" s="1">
        <v>0</v>
      </c>
      <c r="T155" s="31">
        <v>10437.59</v>
      </c>
      <c r="U155" s="31">
        <v>2017.27</v>
      </c>
      <c r="V155" s="31">
        <v>2514.0700000000002</v>
      </c>
      <c r="W155" s="31">
        <v>1220</v>
      </c>
      <c r="X155" s="31">
        <v>0</v>
      </c>
      <c r="Y155" s="31">
        <v>4469.8</v>
      </c>
      <c r="Z155" s="31">
        <v>3944.5</v>
      </c>
      <c r="AA155" s="31">
        <v>0</v>
      </c>
      <c r="AB155" s="55">
        <f>SUBTOTAL(9,T155:AA155)</f>
        <v>24603.23</v>
      </c>
      <c r="AC155" s="31">
        <v>24603.23</v>
      </c>
      <c r="AD155" s="31">
        <f>SUBTOTAL(9,T155:W155)</f>
        <v>16188.93</v>
      </c>
      <c r="AE155" s="31">
        <v>19823.38</v>
      </c>
      <c r="AF155" s="31">
        <v>0</v>
      </c>
    </row>
    <row r="156" spans="1:32" hidden="1" x14ac:dyDescent="0.25">
      <c r="A156" s="15" t="s">
        <v>207</v>
      </c>
      <c r="B156" s="6" t="s">
        <v>7</v>
      </c>
      <c r="C156" s="1"/>
      <c r="D156" s="6"/>
      <c r="E156" s="22"/>
      <c r="F156" s="22" t="s">
        <v>214</v>
      </c>
      <c r="G156" s="22"/>
      <c r="H156" s="22"/>
      <c r="I156" s="22"/>
      <c r="J156" s="22"/>
      <c r="K156" s="22"/>
      <c r="L156" s="22"/>
      <c r="M156" s="22"/>
      <c r="N156" s="22"/>
      <c r="O156" s="32">
        <f t="shared" si="9"/>
        <v>0</v>
      </c>
      <c r="P156" s="22"/>
      <c r="Q156" s="31"/>
      <c r="R156" s="22"/>
      <c r="S156" s="22"/>
      <c r="T156" s="31"/>
      <c r="U156" s="31"/>
      <c r="V156" s="31"/>
      <c r="W156" s="31"/>
      <c r="X156" s="31"/>
      <c r="Y156" s="31"/>
      <c r="Z156" s="31"/>
      <c r="AA156" s="31"/>
      <c r="AB156" s="31"/>
      <c r="AC156" s="31"/>
      <c r="AD156" s="31"/>
      <c r="AE156" s="31"/>
      <c r="AF156" s="31"/>
    </row>
    <row r="157" spans="1:32" hidden="1" x14ac:dyDescent="0.25">
      <c r="A157" s="10" t="s">
        <v>103</v>
      </c>
      <c r="B157" s="6" t="s">
        <v>9</v>
      </c>
      <c r="C157" s="1" t="s">
        <v>526</v>
      </c>
      <c r="D157" s="37" t="s">
        <v>527</v>
      </c>
      <c r="E157" s="22" t="s">
        <v>6</v>
      </c>
      <c r="F157" s="1" t="s">
        <v>320</v>
      </c>
      <c r="G157" s="1">
        <v>1000</v>
      </c>
      <c r="H157" s="1">
        <v>0</v>
      </c>
      <c r="I157" s="1">
        <v>0</v>
      </c>
      <c r="J157" s="1">
        <v>500</v>
      </c>
      <c r="K157" s="1" t="s">
        <v>322</v>
      </c>
      <c r="L157" s="1">
        <v>250</v>
      </c>
      <c r="M157" s="1">
        <v>0</v>
      </c>
      <c r="N157" s="1">
        <v>0</v>
      </c>
      <c r="O157" s="55">
        <f t="shared" si="9"/>
        <v>0</v>
      </c>
      <c r="P157" s="13">
        <v>1750</v>
      </c>
      <c r="Q157" s="35">
        <f>SUBTOTAL(9,G157:J157)</f>
        <v>0</v>
      </c>
      <c r="R157" s="1">
        <v>28000</v>
      </c>
      <c r="S157" s="1">
        <v>27000</v>
      </c>
      <c r="T157" s="31">
        <v>1000</v>
      </c>
      <c r="U157" s="31">
        <v>0</v>
      </c>
      <c r="V157" s="31">
        <v>0</v>
      </c>
      <c r="W157" s="31">
        <v>0</v>
      </c>
      <c r="X157" s="31">
        <v>4500</v>
      </c>
      <c r="Y157" s="31">
        <v>100</v>
      </c>
      <c r="Z157" s="31">
        <v>0</v>
      </c>
      <c r="AA157" s="31" t="s">
        <v>301</v>
      </c>
      <c r="AB157" s="55">
        <f t="shared" ref="AB157:AB166" si="10">SUBTOTAL(9,T157:AA157)</f>
        <v>0</v>
      </c>
      <c r="AC157" s="31" t="s">
        <v>75</v>
      </c>
      <c r="AD157" s="31"/>
      <c r="AE157" s="31" t="s">
        <v>75</v>
      </c>
      <c r="AF157" s="31" t="s">
        <v>75</v>
      </c>
    </row>
    <row r="158" spans="1:32" hidden="1" x14ac:dyDescent="0.25">
      <c r="A158" s="15" t="s">
        <v>208</v>
      </c>
      <c r="B158" s="6" t="s">
        <v>9</v>
      </c>
      <c r="C158" s="1" t="s">
        <v>527</v>
      </c>
      <c r="D158" s="6" t="s">
        <v>527</v>
      </c>
      <c r="E158" s="22" t="s">
        <v>6</v>
      </c>
      <c r="F158" s="1" t="s">
        <v>6</v>
      </c>
      <c r="G158" s="39">
        <v>67986</v>
      </c>
      <c r="H158" s="39">
        <v>55809</v>
      </c>
      <c r="I158" s="1" t="s">
        <v>301</v>
      </c>
      <c r="J158" s="39">
        <v>77616</v>
      </c>
      <c r="K158" s="1" t="s">
        <v>281</v>
      </c>
      <c r="L158" s="1" t="s">
        <v>301</v>
      </c>
      <c r="M158" s="1" t="s">
        <v>301</v>
      </c>
      <c r="N158" s="1" t="s">
        <v>281</v>
      </c>
      <c r="O158" s="55">
        <f t="shared" si="9"/>
        <v>0</v>
      </c>
      <c r="P158" s="57">
        <v>200411</v>
      </c>
      <c r="Q158" s="35">
        <f>SUBTOTAL(9,G158:J158)</f>
        <v>0</v>
      </c>
      <c r="R158" s="1" t="s">
        <v>281</v>
      </c>
      <c r="S158" s="1" t="s">
        <v>281</v>
      </c>
      <c r="T158" s="31">
        <v>42522</v>
      </c>
      <c r="U158" s="31">
        <v>51684</v>
      </c>
      <c r="V158" s="31">
        <v>0</v>
      </c>
      <c r="W158" s="31">
        <v>123519</v>
      </c>
      <c r="X158" s="31">
        <v>0</v>
      </c>
      <c r="Y158" s="31">
        <v>1197</v>
      </c>
      <c r="Z158" s="31">
        <v>8636</v>
      </c>
      <c r="AA158" s="31">
        <v>0</v>
      </c>
      <c r="AB158" s="55">
        <f t="shared" si="10"/>
        <v>0</v>
      </c>
      <c r="AC158" s="31">
        <v>227558</v>
      </c>
      <c r="AD158" s="31">
        <f>SUBTOTAL(9,T158)</f>
        <v>0</v>
      </c>
      <c r="AE158" s="31">
        <v>425900</v>
      </c>
      <c r="AF158" s="31">
        <v>184211</v>
      </c>
    </row>
    <row r="159" spans="1:32" hidden="1" x14ac:dyDescent="0.25">
      <c r="A159" s="15" t="s">
        <v>209</v>
      </c>
      <c r="B159" s="6" t="s">
        <v>7</v>
      </c>
      <c r="C159" s="1" t="s">
        <v>526</v>
      </c>
      <c r="D159" s="6" t="s">
        <v>526</v>
      </c>
      <c r="E159" s="22"/>
      <c r="F159" s="22" t="s">
        <v>295</v>
      </c>
      <c r="G159" s="22"/>
      <c r="H159" s="22"/>
      <c r="I159" s="22"/>
      <c r="J159" s="22"/>
      <c r="K159" s="22"/>
      <c r="L159" s="22"/>
      <c r="M159" s="22"/>
      <c r="N159" s="22"/>
      <c r="O159" s="32">
        <f t="shared" si="9"/>
        <v>0</v>
      </c>
      <c r="P159" s="22"/>
      <c r="Q159" s="31">
        <f>SUBTOTAL(9,G159:J159)</f>
        <v>0</v>
      </c>
      <c r="R159" s="22"/>
      <c r="S159" s="22"/>
      <c r="T159" s="31">
        <v>0</v>
      </c>
      <c r="U159" s="31">
        <v>1631</v>
      </c>
      <c r="V159" s="31">
        <v>0</v>
      </c>
      <c r="W159" s="31">
        <v>0</v>
      </c>
      <c r="X159" s="31">
        <v>0</v>
      </c>
      <c r="Y159" s="31">
        <v>2300</v>
      </c>
      <c r="Z159" s="31">
        <v>29087</v>
      </c>
      <c r="AA159" s="31">
        <v>0</v>
      </c>
      <c r="AB159" s="55">
        <f t="shared" si="10"/>
        <v>0</v>
      </c>
      <c r="AC159" s="31">
        <v>33018</v>
      </c>
      <c r="AD159" s="31">
        <f>SUBTOTAL(9,T159:W159)</f>
        <v>0</v>
      </c>
      <c r="AE159" s="31">
        <v>12109</v>
      </c>
      <c r="AF159" s="31">
        <v>5000</v>
      </c>
    </row>
    <row r="160" spans="1:32" x14ac:dyDescent="0.25">
      <c r="A160" s="12" t="s">
        <v>20</v>
      </c>
      <c r="B160" s="6" t="s">
        <v>7</v>
      </c>
      <c r="C160" s="1" t="s">
        <v>526</v>
      </c>
      <c r="D160" s="6" t="s">
        <v>526</v>
      </c>
      <c r="E160" s="22" t="s">
        <v>214</v>
      </c>
      <c r="F160" s="1" t="s">
        <v>221</v>
      </c>
      <c r="G160" s="1">
        <v>0</v>
      </c>
      <c r="H160" s="1">
        <v>400</v>
      </c>
      <c r="I160" s="1">
        <v>2300</v>
      </c>
      <c r="J160" s="1">
        <v>0</v>
      </c>
      <c r="K160" s="1">
        <v>103600</v>
      </c>
      <c r="L160" s="1">
        <v>0</v>
      </c>
      <c r="M160" s="1" t="s">
        <v>75</v>
      </c>
      <c r="N160" s="1" t="s">
        <v>75</v>
      </c>
      <c r="O160" s="55">
        <f t="shared" si="9"/>
        <v>106300</v>
      </c>
      <c r="P160" s="13">
        <v>103826</v>
      </c>
      <c r="Q160" s="31">
        <f>SUBTOTAL(9,G160:J160)</f>
        <v>2700</v>
      </c>
      <c r="R160" s="1">
        <v>103826</v>
      </c>
      <c r="S160" s="1">
        <v>56200</v>
      </c>
      <c r="T160" s="31">
        <v>0</v>
      </c>
      <c r="U160" s="31">
        <v>786</v>
      </c>
      <c r="V160" s="31">
        <v>1201</v>
      </c>
      <c r="W160" s="31" t="s">
        <v>75</v>
      </c>
      <c r="X160" s="31" t="s">
        <v>75</v>
      </c>
      <c r="Y160" s="31" t="s">
        <v>75</v>
      </c>
      <c r="Z160" s="31">
        <v>112868</v>
      </c>
      <c r="AA160" s="31" t="s">
        <v>75</v>
      </c>
      <c r="AB160" s="55">
        <f t="shared" si="10"/>
        <v>114855</v>
      </c>
      <c r="AC160" s="31">
        <v>1987</v>
      </c>
      <c r="AD160" s="31">
        <f>SUBTOTAL(9,T160:W160)</f>
        <v>1987</v>
      </c>
      <c r="AE160" s="31">
        <v>112870</v>
      </c>
      <c r="AF160" s="31">
        <v>71430</v>
      </c>
    </row>
    <row r="161" spans="1:32" hidden="1" x14ac:dyDescent="0.25">
      <c r="A161" s="11" t="s">
        <v>59</v>
      </c>
      <c r="B161" s="6" t="s">
        <v>8</v>
      </c>
      <c r="C161" s="1" t="s">
        <v>614</v>
      </c>
      <c r="D161" s="6" t="s">
        <v>529</v>
      </c>
      <c r="E161" s="22" t="s">
        <v>6</v>
      </c>
      <c r="F161" s="1" t="s">
        <v>221</v>
      </c>
      <c r="G161" s="41">
        <v>0</v>
      </c>
      <c r="H161" s="42">
        <v>2165</v>
      </c>
      <c r="I161" s="41">
        <v>0</v>
      </c>
      <c r="J161" s="42">
        <v>313</v>
      </c>
      <c r="K161" s="42">
        <v>0</v>
      </c>
      <c r="L161" s="42">
        <v>99446</v>
      </c>
      <c r="M161" s="42">
        <v>0</v>
      </c>
      <c r="N161" s="42">
        <v>0</v>
      </c>
      <c r="O161" s="55">
        <f t="shared" si="9"/>
        <v>0</v>
      </c>
      <c r="P161" s="56">
        <v>101924</v>
      </c>
      <c r="Q161" s="31"/>
      <c r="R161" s="42">
        <v>99434</v>
      </c>
      <c r="S161" s="42">
        <v>36186</v>
      </c>
      <c r="T161" s="31">
        <v>0</v>
      </c>
      <c r="U161" s="31">
        <v>3957</v>
      </c>
      <c r="V161" s="31">
        <v>0</v>
      </c>
      <c r="W161" s="31">
        <v>0</v>
      </c>
      <c r="X161" s="31">
        <v>99000</v>
      </c>
      <c r="Y161" s="31">
        <v>3694</v>
      </c>
      <c r="Z161" s="31">
        <v>2500</v>
      </c>
      <c r="AA161" s="31">
        <v>0</v>
      </c>
      <c r="AB161" s="55">
        <f t="shared" si="10"/>
        <v>0</v>
      </c>
      <c r="AC161" s="31">
        <v>109151</v>
      </c>
      <c r="AD161" s="31"/>
      <c r="AE161" s="31">
        <v>95620</v>
      </c>
      <c r="AF161" s="31">
        <v>80481</v>
      </c>
    </row>
    <row r="162" spans="1:32" x14ac:dyDescent="0.25">
      <c r="A162" s="10" t="s">
        <v>60</v>
      </c>
      <c r="B162" s="6" t="s">
        <v>7</v>
      </c>
      <c r="C162" s="1" t="s">
        <v>526</v>
      </c>
      <c r="D162" s="6" t="s">
        <v>526</v>
      </c>
      <c r="E162" s="22" t="s">
        <v>6</v>
      </c>
      <c r="F162" s="1" t="s">
        <v>6</v>
      </c>
      <c r="G162" s="1">
        <v>6946</v>
      </c>
      <c r="H162" s="1" t="s">
        <v>75</v>
      </c>
      <c r="I162" s="1">
        <v>3471</v>
      </c>
      <c r="J162" s="1">
        <v>4310</v>
      </c>
      <c r="K162" s="1" t="s">
        <v>75</v>
      </c>
      <c r="L162" s="1">
        <v>1475</v>
      </c>
      <c r="M162" s="1">
        <v>1257</v>
      </c>
      <c r="N162" s="1" t="s">
        <v>75</v>
      </c>
      <c r="O162" s="55">
        <f t="shared" si="9"/>
        <v>17459</v>
      </c>
      <c r="P162" s="13">
        <v>17459</v>
      </c>
      <c r="Q162" s="31">
        <f>SUBTOTAL(9,G162:J162)</f>
        <v>14727</v>
      </c>
      <c r="R162" s="1">
        <v>15215</v>
      </c>
      <c r="S162" s="1">
        <v>0</v>
      </c>
      <c r="T162" s="31">
        <v>3370</v>
      </c>
      <c r="U162" s="31">
        <v>2882</v>
      </c>
      <c r="V162" s="31">
        <v>813</v>
      </c>
      <c r="W162" s="31">
        <v>9020</v>
      </c>
      <c r="X162" s="31">
        <v>0</v>
      </c>
      <c r="Y162" s="31">
        <v>3530</v>
      </c>
      <c r="Z162" s="31">
        <v>1110</v>
      </c>
      <c r="AA162" s="31">
        <v>11600</v>
      </c>
      <c r="AB162" s="55">
        <f t="shared" si="10"/>
        <v>32325</v>
      </c>
      <c r="AC162" s="31">
        <v>36285</v>
      </c>
      <c r="AD162" s="31">
        <f>SUBTOTAL(9,T162:W162)</f>
        <v>16085</v>
      </c>
      <c r="AE162" s="31">
        <v>32052</v>
      </c>
      <c r="AF162" s="31">
        <v>0</v>
      </c>
    </row>
    <row r="163" spans="1:32" x14ac:dyDescent="0.25">
      <c r="A163" s="7" t="s">
        <v>170</v>
      </c>
      <c r="B163" s="6" t="s">
        <v>7</v>
      </c>
      <c r="C163" s="1" t="s">
        <v>526</v>
      </c>
      <c r="D163" s="6" t="s">
        <v>526</v>
      </c>
      <c r="E163" s="22" t="s">
        <v>6</v>
      </c>
      <c r="F163" s="1" t="s">
        <v>221</v>
      </c>
      <c r="G163" s="41">
        <v>0</v>
      </c>
      <c r="H163" s="41">
        <v>2363</v>
      </c>
      <c r="I163" s="41">
        <v>0</v>
      </c>
      <c r="J163" s="41">
        <v>1500</v>
      </c>
      <c r="K163" s="41">
        <v>0</v>
      </c>
      <c r="L163" s="41">
        <v>5556</v>
      </c>
      <c r="M163" s="41">
        <v>1023</v>
      </c>
      <c r="N163" s="41">
        <v>24530</v>
      </c>
      <c r="O163" s="55">
        <f t="shared" si="9"/>
        <v>34972</v>
      </c>
      <c r="P163" s="13">
        <v>10442</v>
      </c>
      <c r="Q163" s="31">
        <f>SUBTOTAL(9,G163:J163)</f>
        <v>3863</v>
      </c>
      <c r="R163" s="41">
        <v>5162</v>
      </c>
      <c r="S163" s="41">
        <v>0</v>
      </c>
      <c r="T163" s="31">
        <v>0</v>
      </c>
      <c r="U163" s="31">
        <v>1946</v>
      </c>
      <c r="V163" s="31">
        <v>0</v>
      </c>
      <c r="W163" s="31">
        <v>1650</v>
      </c>
      <c r="X163" s="31">
        <v>0</v>
      </c>
      <c r="Y163" s="31">
        <v>6017</v>
      </c>
      <c r="Z163" s="31">
        <v>260</v>
      </c>
      <c r="AA163" s="31">
        <v>5880</v>
      </c>
      <c r="AB163" s="55">
        <f t="shared" si="10"/>
        <v>15753</v>
      </c>
      <c r="AC163" s="31">
        <v>15752</v>
      </c>
      <c r="AD163" s="31">
        <f>SUBTOTAL(9,T163:W163)</f>
        <v>3596</v>
      </c>
      <c r="AE163" s="31">
        <v>7410</v>
      </c>
      <c r="AF163" s="31" t="s">
        <v>266</v>
      </c>
    </row>
    <row r="164" spans="1:32" hidden="1" x14ac:dyDescent="0.25">
      <c r="A164" s="11" t="s">
        <v>135</v>
      </c>
      <c r="B164" s="6" t="s">
        <v>7</v>
      </c>
      <c r="C164" s="1" t="s">
        <v>526</v>
      </c>
      <c r="D164" s="6" t="s">
        <v>526</v>
      </c>
      <c r="E164" s="22" t="s">
        <v>6</v>
      </c>
      <c r="F164" s="1" t="s">
        <v>221</v>
      </c>
      <c r="G164" s="1">
        <v>0</v>
      </c>
      <c r="H164" s="1" t="s">
        <v>264</v>
      </c>
      <c r="I164" s="1" t="s">
        <v>75</v>
      </c>
      <c r="J164" s="41">
        <v>1561</v>
      </c>
      <c r="K164" s="41">
        <v>267000</v>
      </c>
      <c r="L164" s="41">
        <v>0</v>
      </c>
      <c r="M164" s="1" t="s">
        <v>75</v>
      </c>
      <c r="N164" s="1" t="s">
        <v>75</v>
      </c>
      <c r="O164" s="55">
        <f t="shared" si="9"/>
        <v>0</v>
      </c>
      <c r="P164" s="58">
        <v>1561</v>
      </c>
      <c r="Q164" s="31"/>
      <c r="R164" s="41">
        <v>267000</v>
      </c>
      <c r="S164" s="41">
        <v>109000</v>
      </c>
      <c r="T164" s="31" t="s">
        <v>75</v>
      </c>
      <c r="U164" s="31">
        <v>481</v>
      </c>
      <c r="V164" s="31" t="s">
        <v>75</v>
      </c>
      <c r="W164" s="31" t="s">
        <v>75</v>
      </c>
      <c r="X164" s="31" t="s">
        <v>75</v>
      </c>
      <c r="Y164" s="31" t="s">
        <v>75</v>
      </c>
      <c r="Z164" s="31" t="s">
        <v>75</v>
      </c>
      <c r="AA164" s="31" t="s">
        <v>75</v>
      </c>
      <c r="AB164" s="31">
        <f t="shared" si="10"/>
        <v>0</v>
      </c>
      <c r="AC164" s="31">
        <v>481</v>
      </c>
      <c r="AD164" s="31"/>
      <c r="AE164" s="31">
        <v>226000</v>
      </c>
      <c r="AF164" s="31">
        <v>144000</v>
      </c>
    </row>
    <row r="165" spans="1:32" hidden="1" x14ac:dyDescent="0.25">
      <c r="A165" s="22" t="s">
        <v>216</v>
      </c>
      <c r="B165" s="16" t="s">
        <v>27</v>
      </c>
      <c r="C165" s="1" t="s">
        <v>527</v>
      </c>
      <c r="D165" s="6" t="s">
        <v>527</v>
      </c>
      <c r="E165" s="22" t="s">
        <v>214</v>
      </c>
      <c r="F165" s="1" t="s">
        <v>221</v>
      </c>
      <c r="G165" s="41">
        <v>0</v>
      </c>
      <c r="H165" s="41">
        <v>0</v>
      </c>
      <c r="I165" s="41">
        <v>0</v>
      </c>
      <c r="J165" s="41">
        <v>0</v>
      </c>
      <c r="K165" s="41">
        <v>0</v>
      </c>
      <c r="L165" s="41">
        <v>0</v>
      </c>
      <c r="M165" s="41">
        <v>4000</v>
      </c>
      <c r="N165" s="41">
        <v>50000</v>
      </c>
      <c r="O165" s="55">
        <f t="shared" si="9"/>
        <v>0</v>
      </c>
      <c r="P165" s="58">
        <v>54000</v>
      </c>
      <c r="Q165" s="31"/>
      <c r="R165" s="1" t="s">
        <v>287</v>
      </c>
      <c r="S165" s="1" t="s">
        <v>287</v>
      </c>
      <c r="T165" s="31">
        <v>0</v>
      </c>
      <c r="U165" s="31">
        <v>0</v>
      </c>
      <c r="V165" s="31">
        <v>0</v>
      </c>
      <c r="W165" s="31">
        <v>1000</v>
      </c>
      <c r="X165" s="31">
        <v>65000</v>
      </c>
      <c r="Y165" s="31" t="s">
        <v>75</v>
      </c>
      <c r="Z165" s="31" t="s">
        <v>75</v>
      </c>
      <c r="AA165" s="31" t="s">
        <v>75</v>
      </c>
      <c r="AB165" s="55">
        <f t="shared" si="10"/>
        <v>0</v>
      </c>
      <c r="AC165" s="31">
        <v>66000</v>
      </c>
      <c r="AD165" s="31"/>
      <c r="AE165" s="31">
        <v>66000</v>
      </c>
      <c r="AF165" s="31">
        <v>50</v>
      </c>
    </row>
    <row r="166" spans="1:32" hidden="1" x14ac:dyDescent="0.25">
      <c r="A166" s="11" t="s">
        <v>61</v>
      </c>
      <c r="B166" s="16" t="s">
        <v>7</v>
      </c>
      <c r="C166" s="1" t="s">
        <v>527</v>
      </c>
      <c r="D166" s="6" t="s">
        <v>527</v>
      </c>
      <c r="E166" s="22"/>
      <c r="F166" s="1" t="s">
        <v>214</v>
      </c>
      <c r="G166" s="1"/>
      <c r="H166" s="1"/>
      <c r="I166" s="1"/>
      <c r="J166" s="1"/>
      <c r="K166" s="1"/>
      <c r="L166" s="1"/>
      <c r="M166" s="1"/>
      <c r="N166" s="1"/>
      <c r="O166" s="32">
        <f t="shared" si="9"/>
        <v>0</v>
      </c>
      <c r="P166" s="1"/>
      <c r="Q166" s="31">
        <f>SUBTOTAL(9,G166:J166)</f>
        <v>0</v>
      </c>
      <c r="R166" s="1"/>
      <c r="S166" s="1"/>
      <c r="T166" s="31">
        <v>62727</v>
      </c>
      <c r="U166" s="31" t="s">
        <v>266</v>
      </c>
      <c r="V166" s="31" t="s">
        <v>75</v>
      </c>
      <c r="W166" s="31">
        <v>84872</v>
      </c>
      <c r="X166" s="31" t="s">
        <v>75</v>
      </c>
      <c r="Y166" s="31" t="s">
        <v>75</v>
      </c>
      <c r="Z166" s="31" t="s">
        <v>75</v>
      </c>
      <c r="AA166" s="31" t="s">
        <v>75</v>
      </c>
      <c r="AB166" s="55">
        <f t="shared" si="10"/>
        <v>0</v>
      </c>
      <c r="AC166" s="31" t="s">
        <v>75</v>
      </c>
      <c r="AD166" s="31">
        <f>SUBTOTAL(9,T166:W166)</f>
        <v>0</v>
      </c>
      <c r="AE166" s="31" t="s">
        <v>75</v>
      </c>
      <c r="AF166" s="31" t="s">
        <v>75</v>
      </c>
    </row>
    <row r="167" spans="1:32" hidden="1" x14ac:dyDescent="0.25">
      <c r="A167" s="27" t="s">
        <v>66</v>
      </c>
      <c r="B167" s="1"/>
      <c r="C167" s="22"/>
      <c r="D167" s="1"/>
      <c r="E167" s="22"/>
      <c r="F167" s="22" t="s">
        <v>295</v>
      </c>
      <c r="G167" s="22"/>
      <c r="H167" s="22"/>
      <c r="I167" s="22"/>
      <c r="J167" s="22"/>
      <c r="K167" s="22"/>
      <c r="L167" s="22"/>
      <c r="M167" s="22"/>
      <c r="N167" s="22"/>
      <c r="O167" s="32">
        <f t="shared" si="9"/>
        <v>0</v>
      </c>
      <c r="P167" s="22"/>
      <c r="Q167" s="22"/>
      <c r="R167" s="22"/>
      <c r="S167" s="22"/>
      <c r="T167" s="22"/>
      <c r="U167" s="22"/>
      <c r="V167" s="22"/>
      <c r="W167" s="22"/>
      <c r="X167" s="22"/>
      <c r="Y167" s="22"/>
      <c r="Z167" s="22"/>
      <c r="AA167" s="22"/>
      <c r="AB167" s="22"/>
      <c r="AC167" s="22"/>
      <c r="AD167" s="22"/>
      <c r="AE167" s="22"/>
      <c r="AF167" s="22"/>
    </row>
    <row r="168" spans="1:32" x14ac:dyDescent="0.25">
      <c r="A168" s="12" t="s">
        <v>104</v>
      </c>
      <c r="B168" s="16" t="s">
        <v>7</v>
      </c>
      <c r="C168" s="1" t="s">
        <v>526</v>
      </c>
      <c r="D168" s="6" t="s">
        <v>526</v>
      </c>
      <c r="E168" s="22" t="s">
        <v>6</v>
      </c>
      <c r="F168" s="1" t="s">
        <v>6</v>
      </c>
      <c r="G168" s="1">
        <v>1741.6</v>
      </c>
      <c r="H168" s="1">
        <v>1136.76</v>
      </c>
      <c r="I168" s="1">
        <v>0</v>
      </c>
      <c r="J168" s="1">
        <v>150</v>
      </c>
      <c r="K168" s="1">
        <v>510.31</v>
      </c>
      <c r="L168" s="1">
        <v>3377.05</v>
      </c>
      <c r="M168" s="1">
        <v>822.64</v>
      </c>
      <c r="N168" s="1">
        <v>0</v>
      </c>
      <c r="O168" s="55">
        <f t="shared" si="9"/>
        <v>7738.36</v>
      </c>
      <c r="P168" s="13">
        <v>7738.36</v>
      </c>
      <c r="Q168" s="31">
        <f>SUBTOTAL(9,G168:J168)</f>
        <v>3028.3599999999997</v>
      </c>
      <c r="R168" s="1">
        <v>5086.76</v>
      </c>
      <c r="S168" s="1">
        <v>0</v>
      </c>
      <c r="T168" s="31">
        <v>2090</v>
      </c>
      <c r="U168" s="31">
        <v>950</v>
      </c>
      <c r="V168" s="31">
        <v>0</v>
      </c>
      <c r="W168" s="31">
        <v>0</v>
      </c>
      <c r="X168" s="31">
        <v>0</v>
      </c>
      <c r="Y168" s="31">
        <v>1480</v>
      </c>
      <c r="Z168" s="31">
        <v>675</v>
      </c>
      <c r="AA168" s="31">
        <v>0</v>
      </c>
      <c r="AB168" s="55">
        <f>SUBTOTAL(9,T168:AA168)</f>
        <v>5195</v>
      </c>
      <c r="AC168" s="31">
        <v>6098</v>
      </c>
      <c r="AD168" s="31">
        <f>SUBTOTAL(9,T168:W168)</f>
        <v>3040</v>
      </c>
      <c r="AE168" s="31">
        <v>2290</v>
      </c>
      <c r="AF168" s="31">
        <v>0</v>
      </c>
    </row>
    <row r="169" spans="1:32" hidden="1" x14ac:dyDescent="0.25">
      <c r="A169" s="15" t="s">
        <v>210</v>
      </c>
      <c r="B169" s="6" t="s">
        <v>53</v>
      </c>
      <c r="C169" s="1" t="s">
        <v>527</v>
      </c>
      <c r="D169" s="6" t="s">
        <v>527</v>
      </c>
      <c r="E169" s="22"/>
      <c r="F169" s="22" t="s">
        <v>214</v>
      </c>
      <c r="G169" s="22"/>
      <c r="H169" s="22"/>
      <c r="I169" s="22"/>
      <c r="J169" s="22"/>
      <c r="K169" s="22"/>
      <c r="L169" s="22"/>
      <c r="M169" s="22"/>
      <c r="N169" s="22"/>
      <c r="O169" s="32">
        <f t="shared" si="9"/>
        <v>0</v>
      </c>
      <c r="P169" s="22"/>
      <c r="Q169" s="31"/>
      <c r="R169" s="22"/>
      <c r="S169" s="22"/>
      <c r="T169" s="31">
        <v>129440</v>
      </c>
      <c r="U169" s="31">
        <v>16085</v>
      </c>
      <c r="V169" s="31">
        <v>39620</v>
      </c>
      <c r="W169" s="31">
        <v>2164</v>
      </c>
      <c r="X169" s="31" t="s">
        <v>199</v>
      </c>
      <c r="Y169" s="31">
        <v>2000</v>
      </c>
      <c r="Z169" s="31">
        <v>13531</v>
      </c>
      <c r="AA169" s="31" t="s">
        <v>199</v>
      </c>
      <c r="AB169" s="55">
        <f>SUBTOTAL(9,T169:AA169)</f>
        <v>0</v>
      </c>
      <c r="AC169" s="31">
        <v>219882</v>
      </c>
      <c r="AD169" s="31"/>
      <c r="AE169" s="31">
        <v>185495</v>
      </c>
      <c r="AF169" s="31">
        <v>81842</v>
      </c>
    </row>
    <row r="170" spans="1:32" hidden="1" x14ac:dyDescent="0.25">
      <c r="A170" s="12" t="s">
        <v>64</v>
      </c>
      <c r="B170" s="6" t="s">
        <v>7</v>
      </c>
      <c r="C170" s="1"/>
      <c r="D170" s="6"/>
      <c r="E170" s="22"/>
      <c r="F170" s="22" t="s">
        <v>214</v>
      </c>
      <c r="G170" s="22"/>
      <c r="H170" s="22"/>
      <c r="I170" s="22"/>
      <c r="J170" s="22"/>
      <c r="K170" s="22"/>
      <c r="L170" s="22"/>
      <c r="M170" s="22"/>
      <c r="N170" s="22"/>
      <c r="O170" s="32">
        <f t="shared" si="9"/>
        <v>0</v>
      </c>
      <c r="P170" s="22"/>
      <c r="Q170" s="31"/>
      <c r="R170" s="22"/>
      <c r="S170" s="22"/>
      <c r="T170" s="31"/>
      <c r="U170" s="31"/>
      <c r="V170" s="31"/>
      <c r="W170" s="31"/>
      <c r="X170" s="31"/>
      <c r="Y170" s="31"/>
      <c r="Z170" s="31"/>
      <c r="AA170" s="31"/>
      <c r="AB170" s="31"/>
      <c r="AC170" s="31"/>
      <c r="AD170" s="31"/>
      <c r="AE170" s="31"/>
      <c r="AF170" s="31"/>
    </row>
    <row r="171" spans="1:32" hidden="1" x14ac:dyDescent="0.25">
      <c r="A171" s="16" t="s">
        <v>171</v>
      </c>
      <c r="B171" s="16" t="s">
        <v>7</v>
      </c>
      <c r="C171" s="1" t="s">
        <v>526</v>
      </c>
      <c r="D171" s="6" t="s">
        <v>526</v>
      </c>
      <c r="E171" s="22"/>
      <c r="F171" s="22" t="s">
        <v>214</v>
      </c>
      <c r="G171" s="22"/>
      <c r="H171" s="22"/>
      <c r="I171" s="22"/>
      <c r="J171" s="22"/>
      <c r="K171" s="22"/>
      <c r="L171" s="22"/>
      <c r="M171" s="22"/>
      <c r="N171" s="22"/>
      <c r="O171" s="32">
        <f t="shared" si="9"/>
        <v>0</v>
      </c>
      <c r="P171" s="22"/>
      <c r="Q171" s="31"/>
      <c r="R171" s="22"/>
      <c r="S171" s="22"/>
      <c r="T171" s="31" t="s">
        <v>75</v>
      </c>
      <c r="U171" s="31" t="s">
        <v>75</v>
      </c>
      <c r="V171" s="31" t="s">
        <v>75</v>
      </c>
      <c r="W171" s="31" t="s">
        <v>75</v>
      </c>
      <c r="X171" s="31" t="s">
        <v>75</v>
      </c>
      <c r="Y171" s="31" t="s">
        <v>75</v>
      </c>
      <c r="Z171" s="31" t="s">
        <v>75</v>
      </c>
      <c r="AA171" s="31" t="s">
        <v>75</v>
      </c>
      <c r="AB171" s="31"/>
      <c r="AC171" s="31" t="s">
        <v>75</v>
      </c>
      <c r="AD171" s="31"/>
      <c r="AE171" s="31" t="s">
        <v>75</v>
      </c>
      <c r="AF171" s="31" t="s">
        <v>75</v>
      </c>
    </row>
    <row r="172" spans="1:32" hidden="1" x14ac:dyDescent="0.25">
      <c r="A172" s="25" t="s">
        <v>172</v>
      </c>
      <c r="B172" s="25" t="s">
        <v>7</v>
      </c>
      <c r="C172" s="1" t="s">
        <v>527</v>
      </c>
      <c r="D172" s="6" t="s">
        <v>527</v>
      </c>
      <c r="E172" s="43"/>
      <c r="F172" s="22" t="s">
        <v>295</v>
      </c>
      <c r="G172" s="22"/>
      <c r="H172" s="22"/>
      <c r="I172" s="22"/>
      <c r="J172" s="22"/>
      <c r="K172" s="22"/>
      <c r="L172" s="22"/>
      <c r="M172" s="22"/>
      <c r="N172" s="22"/>
      <c r="O172" s="32">
        <f t="shared" si="9"/>
        <v>0</v>
      </c>
      <c r="P172" s="22"/>
      <c r="Q172" s="31"/>
      <c r="R172" s="22"/>
      <c r="S172" s="22"/>
      <c r="T172" s="31">
        <v>0</v>
      </c>
      <c r="U172" s="31">
        <v>5116</v>
      </c>
      <c r="V172" s="31" t="s">
        <v>266</v>
      </c>
      <c r="W172" s="31" t="s">
        <v>199</v>
      </c>
      <c r="X172" s="31" t="s">
        <v>199</v>
      </c>
      <c r="Y172" s="31">
        <v>2395</v>
      </c>
      <c r="Z172" s="31" t="s">
        <v>199</v>
      </c>
      <c r="AA172" s="31" t="s">
        <v>199</v>
      </c>
      <c r="AB172" s="31">
        <f>SUBTOTAL(9,T172:AA172)</f>
        <v>0</v>
      </c>
      <c r="AC172" s="31" t="s">
        <v>199</v>
      </c>
      <c r="AD172" s="31"/>
      <c r="AE172" s="31" t="s">
        <v>199</v>
      </c>
      <c r="AF172" s="31" t="s">
        <v>199</v>
      </c>
    </row>
    <row r="173" spans="1:32" x14ac:dyDescent="0.25">
      <c r="A173" s="17" t="s">
        <v>106</v>
      </c>
      <c r="B173" s="6" t="s">
        <v>7</v>
      </c>
      <c r="C173" s="1" t="s">
        <v>266</v>
      </c>
      <c r="D173" s="6" t="s">
        <v>527</v>
      </c>
      <c r="E173" s="22" t="s">
        <v>214</v>
      </c>
      <c r="F173" s="1" t="s">
        <v>221</v>
      </c>
      <c r="G173" s="1" t="s">
        <v>75</v>
      </c>
      <c r="H173" s="46">
        <v>5997.14</v>
      </c>
      <c r="I173" s="1" t="s">
        <v>594</v>
      </c>
      <c r="J173" s="46">
        <v>1284.92</v>
      </c>
      <c r="K173" s="46">
        <v>14040</v>
      </c>
      <c r="L173" s="46">
        <v>7500.16</v>
      </c>
      <c r="M173" s="46">
        <v>22751.919999999998</v>
      </c>
      <c r="N173" s="1">
        <v>0</v>
      </c>
      <c r="O173" s="55">
        <f t="shared" si="9"/>
        <v>51574.14</v>
      </c>
      <c r="P173" s="61">
        <v>45577</v>
      </c>
      <c r="Q173" s="31">
        <f>SUBTOTAL(9,G173:J173)</f>
        <v>7282.06</v>
      </c>
      <c r="R173" s="46">
        <v>50947.519999999997</v>
      </c>
      <c r="S173" s="46">
        <v>2394.62</v>
      </c>
      <c r="T173" s="31">
        <v>0</v>
      </c>
      <c r="U173" s="31">
        <v>0</v>
      </c>
      <c r="V173" s="31">
        <v>0</v>
      </c>
      <c r="W173" s="31">
        <v>0</v>
      </c>
      <c r="X173" s="31">
        <v>14000</v>
      </c>
      <c r="Y173" s="31">
        <v>5000</v>
      </c>
      <c r="Z173" s="31">
        <v>6000</v>
      </c>
      <c r="AA173" s="31">
        <v>0</v>
      </c>
      <c r="AB173" s="55">
        <f>SUBTOTAL(9,T173:AA173)</f>
        <v>25000</v>
      </c>
      <c r="AC173" s="31">
        <v>25000</v>
      </c>
      <c r="AD173" s="31">
        <f>SUBTOTAL(9,T173:W173)</f>
        <v>0</v>
      </c>
      <c r="AE173" s="31">
        <v>3500</v>
      </c>
      <c r="AF173" s="31">
        <v>250</v>
      </c>
    </row>
    <row r="174" spans="1:32" x14ac:dyDescent="0.25">
      <c r="A174" s="22" t="s">
        <v>519</v>
      </c>
      <c r="B174" s="1" t="s">
        <v>7</v>
      </c>
      <c r="C174" s="1" t="s">
        <v>526</v>
      </c>
      <c r="D174" s="6" t="s">
        <v>526</v>
      </c>
      <c r="E174" s="22" t="s">
        <v>6</v>
      </c>
      <c r="F174" s="1" t="s">
        <v>6</v>
      </c>
      <c r="G174" s="1">
        <v>24851</v>
      </c>
      <c r="H174" s="1">
        <v>7610</v>
      </c>
      <c r="I174" s="1">
        <v>813</v>
      </c>
      <c r="J174" s="1">
        <v>5211</v>
      </c>
      <c r="K174" s="1">
        <v>0</v>
      </c>
      <c r="L174" s="1">
        <v>1114</v>
      </c>
      <c r="M174" s="1">
        <v>1535492</v>
      </c>
      <c r="N174" s="1">
        <v>0</v>
      </c>
      <c r="O174" s="55">
        <f t="shared" si="9"/>
        <v>1575091</v>
      </c>
      <c r="P174" s="13">
        <v>1575091</v>
      </c>
      <c r="Q174" s="31">
        <f>SUBTOTAL(9,G174:J174)</f>
        <v>38485</v>
      </c>
      <c r="R174" s="1">
        <v>1362339</v>
      </c>
      <c r="S174" s="1">
        <v>628948</v>
      </c>
      <c r="T174" s="31">
        <v>1420</v>
      </c>
      <c r="U174" s="31">
        <v>12611</v>
      </c>
      <c r="V174" s="31">
        <v>996</v>
      </c>
      <c r="W174" s="31">
        <v>1094</v>
      </c>
      <c r="X174" s="31">
        <v>0</v>
      </c>
      <c r="Y174" s="31">
        <v>4485</v>
      </c>
      <c r="Z174" s="31">
        <v>0</v>
      </c>
      <c r="AA174" s="31">
        <v>0</v>
      </c>
      <c r="AB174" s="55">
        <f>SUBTOTAL(9,T174:AA174)</f>
        <v>20606</v>
      </c>
      <c r="AC174" s="31">
        <v>20606</v>
      </c>
      <c r="AD174" s="31">
        <f>SUBTOTAL(9,T174:W174)</f>
        <v>16121</v>
      </c>
      <c r="AE174" s="31">
        <v>144438</v>
      </c>
      <c r="AF174" s="31">
        <v>90826</v>
      </c>
    </row>
    <row r="175" spans="1:32" ht="29.25" hidden="1" x14ac:dyDescent="0.25">
      <c r="A175" s="26" t="s">
        <v>212</v>
      </c>
      <c r="B175" s="1" t="s">
        <v>7</v>
      </c>
      <c r="C175" s="22"/>
      <c r="D175" s="6" t="s">
        <v>526</v>
      </c>
      <c r="E175" s="44" t="s">
        <v>6</v>
      </c>
      <c r="F175" s="1" t="s">
        <v>221</v>
      </c>
      <c r="G175" s="41">
        <v>0</v>
      </c>
      <c r="H175" s="41">
        <v>244</v>
      </c>
      <c r="I175" s="41">
        <v>0</v>
      </c>
      <c r="J175" s="41">
        <v>2474</v>
      </c>
      <c r="K175" s="41">
        <v>2820</v>
      </c>
      <c r="L175" s="41">
        <v>634</v>
      </c>
      <c r="M175" s="41">
        <v>2977</v>
      </c>
      <c r="N175" s="41">
        <v>0</v>
      </c>
      <c r="O175" s="55">
        <f t="shared" si="9"/>
        <v>0</v>
      </c>
      <c r="P175" s="58">
        <v>9149</v>
      </c>
      <c r="Q175" s="22"/>
      <c r="R175" s="41">
        <v>8367</v>
      </c>
      <c r="S175" s="41">
        <v>0</v>
      </c>
      <c r="T175" s="22"/>
      <c r="U175" s="22"/>
      <c r="V175" s="22"/>
      <c r="W175" s="22"/>
      <c r="X175" s="22"/>
      <c r="Y175" s="22"/>
      <c r="Z175" s="22"/>
      <c r="AA175" s="22"/>
      <c r="AB175" s="22"/>
      <c r="AC175" s="22"/>
      <c r="AD175" s="22"/>
      <c r="AE175" s="22"/>
      <c r="AF175" s="22"/>
    </row>
    <row r="176" spans="1:32" hidden="1" x14ac:dyDescent="0.25">
      <c r="A176" s="22" t="s">
        <v>220</v>
      </c>
      <c r="B176" s="1" t="s">
        <v>7</v>
      </c>
      <c r="C176" s="22"/>
      <c r="D176" s="6" t="s">
        <v>526</v>
      </c>
      <c r="E176" s="22" t="s">
        <v>214</v>
      </c>
      <c r="F176" s="1" t="s">
        <v>221</v>
      </c>
      <c r="G176" s="1">
        <v>0</v>
      </c>
      <c r="H176" s="1" t="s">
        <v>419</v>
      </c>
      <c r="I176" s="1" t="s">
        <v>420</v>
      </c>
      <c r="J176" s="41">
        <v>12892</v>
      </c>
      <c r="K176" s="1">
        <v>0</v>
      </c>
      <c r="L176" s="42">
        <v>399.93</v>
      </c>
      <c r="M176" s="1">
        <v>0</v>
      </c>
      <c r="N176" s="41">
        <v>1155</v>
      </c>
      <c r="O176" s="55">
        <f t="shared" si="9"/>
        <v>0</v>
      </c>
      <c r="P176" s="56">
        <v>14446.93</v>
      </c>
      <c r="Q176" s="22"/>
      <c r="R176" s="42">
        <v>10190.969999999999</v>
      </c>
      <c r="S176" s="46">
        <v>2659.61</v>
      </c>
      <c r="T176" s="22"/>
      <c r="U176" s="22"/>
      <c r="V176" s="22"/>
      <c r="W176" s="22"/>
      <c r="X176" s="22"/>
      <c r="Y176" s="22"/>
      <c r="Z176" s="22"/>
      <c r="AA176" s="22"/>
      <c r="AB176" s="22"/>
      <c r="AC176" s="22"/>
      <c r="AD176" s="22"/>
      <c r="AE176" s="22"/>
      <c r="AF176" s="22"/>
    </row>
    <row r="177" spans="1:32" x14ac:dyDescent="0.25">
      <c r="A177" s="24" t="s">
        <v>211</v>
      </c>
      <c r="B177" s="19" t="s">
        <v>7</v>
      </c>
      <c r="C177" s="1" t="s">
        <v>526</v>
      </c>
      <c r="D177" s="6" t="s">
        <v>526</v>
      </c>
      <c r="E177" s="22" t="s">
        <v>6</v>
      </c>
      <c r="F177" s="1" t="s">
        <v>221</v>
      </c>
      <c r="G177" s="1" t="s">
        <v>75</v>
      </c>
      <c r="H177" s="38">
        <v>200</v>
      </c>
      <c r="I177" s="1" t="s">
        <v>75</v>
      </c>
      <c r="J177" s="1" t="s">
        <v>75</v>
      </c>
      <c r="K177" s="38">
        <v>1500</v>
      </c>
      <c r="L177" s="41">
        <v>1000</v>
      </c>
      <c r="M177" s="38">
        <v>1000</v>
      </c>
      <c r="N177" s="1" t="s">
        <v>75</v>
      </c>
      <c r="O177" s="55">
        <f t="shared" si="9"/>
        <v>3700</v>
      </c>
      <c r="P177" s="58">
        <v>4000</v>
      </c>
      <c r="Q177" s="31">
        <f>SUBTOTAL(9,G177:J177)</f>
        <v>200</v>
      </c>
      <c r="R177" s="41">
        <v>4000</v>
      </c>
      <c r="S177" s="1">
        <v>0</v>
      </c>
      <c r="T177" s="64">
        <v>0</v>
      </c>
      <c r="U177" s="64">
        <v>0</v>
      </c>
      <c r="V177" s="64">
        <v>0</v>
      </c>
      <c r="W177" s="64">
        <v>0</v>
      </c>
      <c r="X177" s="64">
        <v>1000</v>
      </c>
      <c r="Y177" s="64">
        <v>750</v>
      </c>
      <c r="Z177" s="64">
        <v>1000</v>
      </c>
      <c r="AA177" s="64">
        <v>0</v>
      </c>
      <c r="AB177" s="65">
        <f>SUBTOTAL(9,T177:AA177)</f>
        <v>2750</v>
      </c>
      <c r="AC177" s="64">
        <v>2750</v>
      </c>
      <c r="AD177" s="64">
        <f>SUBTOTAL(9,T177:W177)</f>
        <v>0</v>
      </c>
      <c r="AE177" s="64">
        <v>3000</v>
      </c>
      <c r="AF177" s="64">
        <v>0</v>
      </c>
    </row>
    <row r="178" spans="1:32" hidden="1" x14ac:dyDescent="0.25">
      <c r="A178" s="22" t="s">
        <v>218</v>
      </c>
      <c r="B178" s="1" t="s">
        <v>7</v>
      </c>
      <c r="C178" s="22"/>
      <c r="D178" s="6" t="s">
        <v>526</v>
      </c>
      <c r="E178" s="22" t="s">
        <v>214</v>
      </c>
      <c r="F178" s="1" t="s">
        <v>221</v>
      </c>
      <c r="G178" s="1" t="s">
        <v>75</v>
      </c>
      <c r="H178" s="1" t="s">
        <v>75</v>
      </c>
      <c r="I178" s="1" t="s">
        <v>75</v>
      </c>
      <c r="J178" s="1" t="s">
        <v>75</v>
      </c>
      <c r="K178" s="1">
        <v>120000</v>
      </c>
      <c r="L178" s="1">
        <v>6000</v>
      </c>
      <c r="M178" s="1" t="s">
        <v>75</v>
      </c>
      <c r="N178" s="1">
        <v>7600</v>
      </c>
      <c r="O178" s="55">
        <f t="shared" si="9"/>
        <v>0</v>
      </c>
      <c r="P178" s="13">
        <v>133600</v>
      </c>
      <c r="Q178" s="22"/>
      <c r="R178" s="1">
        <v>133600</v>
      </c>
      <c r="S178" s="1">
        <v>11000</v>
      </c>
      <c r="T178" s="50"/>
      <c r="U178" s="50"/>
      <c r="V178" s="50"/>
      <c r="W178" s="50"/>
      <c r="X178" s="50"/>
      <c r="Y178" s="50"/>
      <c r="Z178" s="50"/>
      <c r="AA178" s="50"/>
      <c r="AB178" s="50"/>
      <c r="AC178" s="50"/>
      <c r="AD178" s="50"/>
      <c r="AE178" s="50"/>
      <c r="AF178" s="50"/>
    </row>
    <row r="179" spans="1:32" hidden="1" x14ac:dyDescent="0.25">
      <c r="A179" s="22" t="s">
        <v>219</v>
      </c>
      <c r="B179" s="1" t="s">
        <v>7</v>
      </c>
      <c r="C179" s="22"/>
      <c r="D179" s="6" t="s">
        <v>527</v>
      </c>
      <c r="E179" s="22" t="s">
        <v>214</v>
      </c>
      <c r="F179" s="1" t="s">
        <v>221</v>
      </c>
      <c r="G179" s="41">
        <v>0</v>
      </c>
      <c r="H179" s="41">
        <v>0</v>
      </c>
      <c r="I179" s="41">
        <v>0</v>
      </c>
      <c r="J179" s="41">
        <v>0</v>
      </c>
      <c r="K179" s="41">
        <v>0</v>
      </c>
      <c r="L179" s="41">
        <v>60150</v>
      </c>
      <c r="M179" s="41">
        <v>0</v>
      </c>
      <c r="N179" s="41">
        <v>0</v>
      </c>
      <c r="O179" s="32">
        <f t="shared" si="9"/>
        <v>0</v>
      </c>
      <c r="P179" s="41">
        <v>100000</v>
      </c>
      <c r="Q179" s="22"/>
      <c r="R179" s="41">
        <v>80000</v>
      </c>
      <c r="S179" s="41">
        <v>42000</v>
      </c>
      <c r="T179" s="50"/>
      <c r="U179" s="50"/>
      <c r="V179" s="50"/>
      <c r="W179" s="50"/>
      <c r="X179" s="50"/>
      <c r="Y179" s="50"/>
      <c r="Z179" s="50"/>
      <c r="AA179" s="50"/>
      <c r="AB179" s="50"/>
      <c r="AC179" s="50"/>
      <c r="AD179" s="50"/>
      <c r="AE179" s="50"/>
      <c r="AF179" s="50"/>
    </row>
    <row r="180" spans="1:32" hidden="1" x14ac:dyDescent="0.25">
      <c r="A180" s="11" t="s">
        <v>107</v>
      </c>
      <c r="B180" s="6" t="s">
        <v>7</v>
      </c>
      <c r="C180" s="1"/>
      <c r="D180" s="6" t="s">
        <v>527</v>
      </c>
      <c r="E180" s="22" t="s">
        <v>214</v>
      </c>
      <c r="F180" s="1" t="s">
        <v>6</v>
      </c>
      <c r="G180" s="1" t="s">
        <v>75</v>
      </c>
      <c r="H180" s="1" t="s">
        <v>75</v>
      </c>
      <c r="I180" s="1" t="s">
        <v>75</v>
      </c>
      <c r="J180" s="1" t="s">
        <v>75</v>
      </c>
      <c r="K180" s="1" t="s">
        <v>75</v>
      </c>
      <c r="L180" s="1" t="s">
        <v>75</v>
      </c>
      <c r="M180" s="1" t="s">
        <v>75</v>
      </c>
      <c r="N180" s="1" t="s">
        <v>75</v>
      </c>
      <c r="O180" s="32">
        <f t="shared" si="9"/>
        <v>0</v>
      </c>
      <c r="P180" s="1" t="s">
        <v>75</v>
      </c>
      <c r="Q180" s="31"/>
      <c r="R180" s="1" t="s">
        <v>75</v>
      </c>
      <c r="S180" s="1" t="s">
        <v>75</v>
      </c>
      <c r="T180" s="64"/>
      <c r="U180" s="64"/>
      <c r="V180" s="64"/>
      <c r="W180" s="64"/>
      <c r="X180" s="64"/>
      <c r="Y180" s="64"/>
      <c r="Z180" s="64"/>
      <c r="AA180" s="64"/>
      <c r="AB180" s="64"/>
      <c r="AC180" s="64"/>
      <c r="AD180" s="64"/>
      <c r="AE180" s="64"/>
      <c r="AF180" s="64"/>
    </row>
    <row r="181" spans="1:32" hidden="1" x14ac:dyDescent="0.25">
      <c r="A181" s="16" t="s">
        <v>524</v>
      </c>
      <c r="B181" s="16" t="s">
        <v>7</v>
      </c>
      <c r="C181" s="1" t="s">
        <v>527</v>
      </c>
      <c r="D181" s="6" t="s">
        <v>527</v>
      </c>
      <c r="E181" s="22"/>
      <c r="F181" s="22" t="s">
        <v>214</v>
      </c>
      <c r="G181" s="22"/>
      <c r="H181" s="22"/>
      <c r="I181" s="22"/>
      <c r="J181" s="22"/>
      <c r="K181" s="22"/>
      <c r="L181" s="22"/>
      <c r="M181" s="22"/>
      <c r="N181" s="22"/>
      <c r="O181" s="32">
        <f t="shared" si="9"/>
        <v>0</v>
      </c>
      <c r="P181" s="22"/>
      <c r="Q181" s="31">
        <f>SUBTOTAL(9,G181:J181)</f>
        <v>0</v>
      </c>
      <c r="R181" s="22"/>
      <c r="S181" s="22"/>
      <c r="T181" s="64">
        <v>233266</v>
      </c>
      <c r="U181" s="64">
        <v>48472</v>
      </c>
      <c r="V181" s="64">
        <v>23000</v>
      </c>
      <c r="W181" s="64">
        <v>22588</v>
      </c>
      <c r="X181" s="64">
        <v>0</v>
      </c>
      <c r="Y181" s="64">
        <v>0</v>
      </c>
      <c r="Z181" s="64">
        <v>0</v>
      </c>
      <c r="AA181" s="64">
        <v>0</v>
      </c>
      <c r="AB181" s="65">
        <f>SUBTOTAL(9,T181:AA181)</f>
        <v>0</v>
      </c>
      <c r="AC181" s="64">
        <v>327326</v>
      </c>
      <c r="AD181" s="64">
        <f>SUBTOTAL(9,T181:W181)</f>
        <v>0</v>
      </c>
      <c r="AE181" s="64">
        <v>311235</v>
      </c>
      <c r="AF181" s="64">
        <v>122537</v>
      </c>
    </row>
    <row r="182" spans="1:32" hidden="1" x14ac:dyDescent="0.25">
      <c r="A182" s="16" t="s">
        <v>525</v>
      </c>
      <c r="B182" s="16" t="s">
        <v>7</v>
      </c>
      <c r="C182" s="1" t="s">
        <v>526</v>
      </c>
      <c r="D182" s="6" t="s">
        <v>526</v>
      </c>
      <c r="E182" s="22"/>
      <c r="F182" s="22" t="s">
        <v>214</v>
      </c>
      <c r="G182" s="22"/>
      <c r="H182" s="22"/>
      <c r="I182" s="22"/>
      <c r="J182" s="22"/>
      <c r="K182" s="22"/>
      <c r="L182" s="22"/>
      <c r="M182" s="22"/>
      <c r="N182" s="22"/>
      <c r="O182" s="32">
        <f t="shared" si="9"/>
        <v>0</v>
      </c>
      <c r="P182" s="22"/>
      <c r="Q182" s="31">
        <f>SUBTOTAL(9,G182:J182)</f>
        <v>0</v>
      </c>
      <c r="R182" s="22"/>
      <c r="S182" s="22"/>
      <c r="T182" s="64">
        <v>37000</v>
      </c>
      <c r="U182" s="64">
        <v>18000</v>
      </c>
      <c r="V182" s="64">
        <v>0</v>
      </c>
      <c r="W182" s="64">
        <v>60000</v>
      </c>
      <c r="X182" s="64">
        <v>60000</v>
      </c>
      <c r="Y182" s="64">
        <v>1000</v>
      </c>
      <c r="Z182" s="64">
        <v>1000</v>
      </c>
      <c r="AA182" s="64">
        <v>6500</v>
      </c>
      <c r="AB182" s="65">
        <f>SUBTOTAL(9,T182:AA182)</f>
        <v>0</v>
      </c>
      <c r="AC182" s="64">
        <v>183500</v>
      </c>
      <c r="AD182" s="64">
        <f>SUBTOTAL(9,T182:W182)</f>
        <v>0</v>
      </c>
      <c r="AE182" s="64">
        <v>185000</v>
      </c>
      <c r="AF182" s="64">
        <v>50000</v>
      </c>
    </row>
    <row r="183" spans="1:32" hidden="1" x14ac:dyDescent="0.25">
      <c r="A183" s="22" t="s">
        <v>217</v>
      </c>
      <c r="B183" s="1" t="s">
        <v>7</v>
      </c>
      <c r="C183" s="22"/>
      <c r="D183" s="6" t="s">
        <v>527</v>
      </c>
      <c r="E183" s="22" t="s">
        <v>214</v>
      </c>
      <c r="F183" s="1" t="s">
        <v>6</v>
      </c>
      <c r="G183" s="41">
        <v>69631</v>
      </c>
      <c r="H183" s="41">
        <v>13441</v>
      </c>
      <c r="I183" s="41">
        <v>0</v>
      </c>
      <c r="J183" s="41">
        <v>15344</v>
      </c>
      <c r="K183" s="1" t="s">
        <v>75</v>
      </c>
      <c r="L183" s="1" t="s">
        <v>75</v>
      </c>
      <c r="M183" s="1" t="s">
        <v>75</v>
      </c>
      <c r="N183" s="1" t="s">
        <v>75</v>
      </c>
      <c r="O183" s="55">
        <f t="shared" si="9"/>
        <v>0</v>
      </c>
      <c r="P183" s="58">
        <v>98416</v>
      </c>
      <c r="Q183" s="22"/>
      <c r="R183" s="41">
        <v>86737</v>
      </c>
      <c r="S183" s="41">
        <v>14940</v>
      </c>
      <c r="T183" s="50"/>
      <c r="U183" s="50"/>
      <c r="V183" s="50"/>
      <c r="W183" s="50"/>
      <c r="X183" s="50"/>
      <c r="Y183" s="50"/>
      <c r="Z183" s="50"/>
      <c r="AA183" s="50"/>
      <c r="AB183" s="50"/>
      <c r="AC183" s="50"/>
      <c r="AD183" s="50"/>
      <c r="AE183" s="50"/>
      <c r="AF183" s="50"/>
    </row>
    <row r="184" spans="1:32" hidden="1" x14ac:dyDescent="0.25">
      <c r="A184" s="29" t="s">
        <v>617</v>
      </c>
    </row>
  </sheetData>
  <autoFilter ref="A1:AF184">
    <filterColumn colId="1">
      <filters>
        <filter val="Independent"/>
      </filters>
    </filterColumn>
    <filterColumn colId="4">
      <customFilters>
        <customFilter operator="notEqual" val=" "/>
      </customFilters>
    </filterColumn>
    <filterColumn colId="14">
      <colorFilter dxfId="1"/>
    </filterColumn>
    <filterColumn colId="27">
      <colorFilter dxfId="0"/>
    </filterColumn>
  </autoFilter>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Sheet4</vt:lpstr>
      <vt:lpstr>Finance 1</vt:lpstr>
    </vt:vector>
  </TitlesOfParts>
  <Company>Bristol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Newman</dc:creator>
  <cp:lastModifiedBy>Everitt, Jamie</cp:lastModifiedBy>
  <dcterms:created xsi:type="dcterms:W3CDTF">2016-11-07T14:14:51Z</dcterms:created>
  <dcterms:modified xsi:type="dcterms:W3CDTF">2018-01-10T15:42:36Z</dcterms:modified>
</cp:coreProperties>
</file>