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300" windowWidth="10785" windowHeight="13050" activeTab="0"/>
  </bookViews>
  <sheets>
    <sheet name="Sheet1" sheetId="1" r:id="rId1"/>
  </sheets>
  <definedNames>
    <definedName name="_xlnm._FilterDatabase" localSheetId="0" hidden="1">'Sheet1'!$A$1:$BF$176</definedName>
  </definedNames>
  <calcPr fullCalcOnLoad="1"/>
</workbook>
</file>

<file path=xl/comments1.xml><?xml version="1.0" encoding="utf-8"?>
<comments xmlns="http://schemas.openxmlformats.org/spreadsheetml/2006/main">
  <authors>
    <author>Harriet</author>
    <author>Microsoft Office User</author>
    <author>Tom Newman</author>
  </authors>
  <commentList>
    <comment ref="N1" authorId="0">
      <text>
        <r>
          <rPr>
            <b/>
            <sz val="9"/>
            <rFont val="Tahoma"/>
            <family val="2"/>
          </rPr>
          <t>Harriet:</t>
        </r>
        <r>
          <rPr>
            <sz val="9"/>
            <rFont val="Tahoma"/>
            <family val="2"/>
          </rPr>
          <t xml:space="preserve">
Figures are taken from the 2011/12 return for this year, unless the museum did not respond, in which case they are from the 2010/11 return</t>
        </r>
      </text>
    </comment>
    <comment ref="BD35" authorId="1">
      <text>
        <r>
          <rPr>
            <b/>
            <sz val="10"/>
            <rFont val="Calibri"/>
            <family val="2"/>
          </rPr>
          <t>Microsoft Office User:</t>
        </r>
        <r>
          <rPr>
            <sz val="10"/>
            <rFont val="Calibri"/>
            <family val="2"/>
          </rPr>
          <t xml:space="preserve">
Hours of paid work are 1177</t>
        </r>
      </text>
    </comment>
    <comment ref="AH57" authorId="1">
      <text>
        <r>
          <rPr>
            <b/>
            <sz val="10"/>
            <rFont val="Calibri"/>
            <family val="2"/>
          </rPr>
          <t>Microsoft Office User:</t>
        </r>
        <r>
          <rPr>
            <sz val="10"/>
            <rFont val="Calibri"/>
            <family val="2"/>
          </rPr>
          <t xml:space="preserve">
78 plus approx. 550 loan boxes</t>
        </r>
      </text>
    </comment>
    <comment ref="AI57" authorId="1">
      <text>
        <r>
          <rPr>
            <b/>
            <sz val="10"/>
            <rFont val="Calibri"/>
            <family val="2"/>
          </rPr>
          <t>Microsoft Office User:</t>
        </r>
        <r>
          <rPr>
            <sz val="10"/>
            <rFont val="Calibri"/>
            <family val="2"/>
          </rPr>
          <t xml:space="preserve">
2980 before the Loan Boxes. If each box was seen by 30 children, this would add another 16,500.</t>
        </r>
      </text>
    </comment>
    <comment ref="AI39" authorId="1">
      <text>
        <r>
          <rPr>
            <b/>
            <sz val="10"/>
            <rFont val="Calibri"/>
            <family val="2"/>
          </rPr>
          <t>Microsoft Office User:</t>
        </r>
        <r>
          <rPr>
            <sz val="10"/>
            <rFont val="Calibri"/>
            <family val="2"/>
          </rPr>
          <t xml:space="preserve">
a) 4140  b) 1485</t>
        </r>
      </text>
    </comment>
    <comment ref="BC1" authorId="2">
      <text>
        <r>
          <rPr>
            <b/>
            <sz val="9"/>
            <rFont val="Tahoma"/>
            <family val="0"/>
          </rPr>
          <t>Tom Newman:</t>
        </r>
        <r>
          <rPr>
            <sz val="9"/>
            <rFont val="Tahoma"/>
            <family val="0"/>
          </rPr>
          <t xml:space="preserve">
Red not included in figures.</t>
        </r>
      </text>
    </comment>
  </commentList>
</comments>
</file>

<file path=xl/sharedStrings.xml><?xml version="1.0" encoding="utf-8"?>
<sst xmlns="http://schemas.openxmlformats.org/spreadsheetml/2006/main" count="4170" uniqueCount="510">
  <si>
    <t>Name of Museum</t>
  </si>
  <si>
    <t>Accreditation Number</t>
  </si>
  <si>
    <t>Accreditation Status</t>
  </si>
  <si>
    <t>County</t>
  </si>
  <si>
    <t>Multi-site</t>
  </si>
  <si>
    <t>Responded</t>
  </si>
  <si>
    <t>Q2. Museum type:</t>
  </si>
  <si>
    <t>Q4. How many hours was your museum open to the public in 2015/16?</t>
  </si>
  <si>
    <t>Q5. What was the total number of visits in person to your museum in 2015/16?</t>
  </si>
  <si>
    <t>Q6. Is this is an actual or an estimate?</t>
  </si>
  <si>
    <t>Q7. What was the total number of visits by adults (16 or above)?</t>
  </si>
  <si>
    <t>Q8. Is this is an actual or an estimate?</t>
  </si>
  <si>
    <t>Q9. What was the total number of visits by children (under 16s)?</t>
  </si>
  <si>
    <t>Q10. Is this is an actual or an estimate?</t>
  </si>
  <si>
    <t>Q11. Is there a reason for any significant change on the previous year (e.g. closed for redevelopment, major exhibition)?</t>
  </si>
  <si>
    <t>Q12. Does your museum have its own website?</t>
  </si>
  <si>
    <t>Q13. What was the total number of unique visitors to your website?</t>
  </si>
  <si>
    <t>Q14. Does your museum use social media to engage with audiences?</t>
  </si>
  <si>
    <t>Q15. If yes, how many subscribers does the museum have to its social media platforms (inc Twitter, Facebook, Instagram, Flickr, Historypin etc)</t>
  </si>
  <si>
    <t>Q16. How many education sessions did your museum deliver on-site in 2015/16?(With formal education providers e.g. school/ college/ HE organisation)</t>
  </si>
  <si>
    <t>Q17. Is this is an actual or an estimate?</t>
  </si>
  <si>
    <t>Q18. How many education sessions did your museum deliver off-site?(With formal education providers e.g. school/ college/ HE organisation. Include all sessions even those delivered without museum staff e.g. loan boxes)</t>
  </si>
  <si>
    <t>Q19. What was the total number of different schools and formal learning organisations engaged?</t>
  </si>
  <si>
    <t>Q20. Is this is an actual or an estimate?</t>
  </si>
  <si>
    <t>Q22. Is this is an actual or an estimate?</t>
  </si>
  <si>
    <t>Q23. How many other activities and outreach events did your museum deliver off-site?(With non-education providers e.g. the Brownies/a local Arts Organisation. It can include any workshops, seminars, talks, lectures etc)</t>
  </si>
  <si>
    <t>Q24. Is this is an actual or an estimate?</t>
  </si>
  <si>
    <t>Q26. Does your museum charge for admission?</t>
  </si>
  <si>
    <t>Q36. Is this is an actual or an estimate?</t>
  </si>
  <si>
    <t>Number of paid staff</t>
  </si>
  <si>
    <t>Q38. Is this is an actual or an estimate?</t>
  </si>
  <si>
    <t>Q39. If you have received support or advice through the SHARE Museums East programme this year, please say a few words about how you found this experience and what you plan to do next.</t>
  </si>
  <si>
    <t xml:space="preserve">100th Bomb Group Memorial Museum </t>
  </si>
  <si>
    <t>Full Accreditation</t>
  </si>
  <si>
    <t>Norfolk</t>
  </si>
  <si>
    <t>Yes</t>
  </si>
  <si>
    <t>Independent</t>
  </si>
  <si>
    <t>-</t>
  </si>
  <si>
    <t>No</t>
  </si>
  <si>
    <t>Weekends 10am-5pm, March – October. May to September additional opening on Wednesdays</t>
  </si>
  <si>
    <t>Actual</t>
  </si>
  <si>
    <t>left blank</t>
  </si>
  <si>
    <t>Estimate</t>
  </si>
  <si>
    <t>Airborne Assault Museum</t>
  </si>
  <si>
    <t>Cambs</t>
  </si>
  <si>
    <t>Military</t>
  </si>
  <si>
    <t>N/A</t>
  </si>
  <si>
    <t>NA</t>
  </si>
  <si>
    <t>Useful advice and courses always available.</t>
  </si>
  <si>
    <t>Aldeburgh Museum</t>
  </si>
  <si>
    <t>Suffolk</t>
  </si>
  <si>
    <t>unknown</t>
  </si>
  <si>
    <t>Figure not provided</t>
  </si>
  <si>
    <t>Free</t>
  </si>
  <si>
    <t>Anglesey Abbey, Gardens and Lode Mill</t>
  </si>
  <si>
    <t>National Trust</t>
  </si>
  <si>
    <t>Ashwell Village Museum</t>
  </si>
  <si>
    <t>Herts</t>
  </si>
  <si>
    <t>n/a</t>
  </si>
  <si>
    <t>Audley End</t>
  </si>
  <si>
    <t>Provisional Accreditation (12 months)</t>
  </si>
  <si>
    <t>Essex</t>
  </si>
  <si>
    <t>English Heritage</t>
  </si>
  <si>
    <t>Beccles and District Museum</t>
  </si>
  <si>
    <t>The curator attended 14 SHARE Museums East day courses and another volunteer also attended a course.  These were excellent.  We intend to attend further training opprtunities in the coming year.</t>
  </si>
  <si>
    <t>Beecroft Art Gallery (Southend Museum Service)</t>
  </si>
  <si>
    <t>Southend Museum Service</t>
  </si>
  <si>
    <t>Local Authority</t>
  </si>
  <si>
    <t>Bentwaters Coldwar Museum</t>
  </si>
  <si>
    <t>Additional out-of-hours group visits</t>
  </si>
  <si>
    <t xml:space="preserve">Bishop Bonner's Cottage Museum </t>
  </si>
  <si>
    <t>Bishop's Stortford Museum</t>
  </si>
  <si>
    <t>Age group not specified</t>
  </si>
  <si>
    <t>Change in the way figures are collected.</t>
  </si>
  <si>
    <t>SHARE have once again been very supportive of the museum and have assisted in the delivery of in-house training as well as giving financial support to a one day study event on public sector records.</t>
  </si>
  <si>
    <t>Blickling Hall</t>
  </si>
  <si>
    <t>Braintree District Museum</t>
  </si>
  <si>
    <t>Brentwood Museum</t>
  </si>
  <si>
    <t>Brightlingsea Museum</t>
  </si>
  <si>
    <t>None</t>
  </si>
  <si>
    <t>Helpful, relevant and sympathetic to the needs of small museums</t>
  </si>
  <si>
    <t>British Schools Museum</t>
  </si>
  <si>
    <t>Increased exhibition programme. Increase in events and social media coverage</t>
  </si>
  <si>
    <t xml:space="preserve">The Museum has particpated in many SHARE activities including the fundraising cohort and the volunteer forum. We have hosted several SHARE training days and meetings, most recently the SHARE retail forum on 14th July. We consider the SHARE network to be invaluable. </t>
  </si>
  <si>
    <t>Burnham-on-Crouch and District Museum</t>
  </si>
  <si>
    <t>Very useful</t>
  </si>
  <si>
    <t>Burwell Museum Trust Ltd</t>
  </si>
  <si>
    <t>Slight drop in visitors most likely due to completion of HLF project and subsequent loss of staff capacity</t>
  </si>
  <si>
    <t>Bushey Museum and Art Gallery</t>
  </si>
  <si>
    <t>Cambridge Museum of Technology</t>
  </si>
  <si>
    <t>Cecil Higgins Art Gallery</t>
  </si>
  <si>
    <t>Beds</t>
  </si>
  <si>
    <t>Centre for Computing History</t>
  </si>
  <si>
    <t>Formally working towards</t>
  </si>
  <si>
    <t>Young museum increasing audience at quick rate.</t>
  </si>
  <si>
    <t>Chatteris Museum</t>
  </si>
  <si>
    <t>started Dec 2015 - 30</t>
  </si>
  <si>
    <t>Chelmsford Museum &amp; Essex Regiment</t>
  </si>
  <si>
    <t>believed to be public staying away from park following a well publicised fatal stabbing</t>
  </si>
  <si>
    <t>Christchurch Mansion (CIMS)</t>
  </si>
  <si>
    <t>CIMS</t>
  </si>
  <si>
    <t>Ipswich Museum</t>
  </si>
  <si>
    <t>Clare Ancient House Museum</t>
  </si>
  <si>
    <t>no significant change</t>
  </si>
  <si>
    <t>number is not known</t>
  </si>
  <si>
    <t>43 followers on Twitter</t>
  </si>
  <si>
    <t>Curator attended 4 SHARE training sessions. These have continued to help professionalize the Museum in lieu of formal training, which helps greatly. Future training is to be hoped for, as the programme is very useful.</t>
  </si>
  <si>
    <t>Colchester Castle Museum (CIMS)</t>
  </si>
  <si>
    <t>Combined Military Services Museum</t>
  </si>
  <si>
    <t>NMS</t>
  </si>
  <si>
    <t>Cromer Museum (Norfolk Museum Service)</t>
  </si>
  <si>
    <t>Cromwell Museum</t>
  </si>
  <si>
    <t xml:space="preserve">Unknown </t>
  </si>
  <si>
    <t>Dacorum Heritage Trust Ltd</t>
  </si>
  <si>
    <t xml:space="preserve">At the end of this annual review year we would have just submitted, alongside 6 other Heritage Organisations in Hertfordshire, an application to Heritage Lottery Fund. It is hoped with this funding we would be able to create activities in 2016 and throughout 2017 on the theme ‘Traditional Herts’.  It is proposed that Hertfordshire Museums work together to explore our local traditions and cultures, to help to create a sense of place and would explore the Hertfordshire historic identity.   Thinking about the theme ‘Traditional Herts’, it was decided that DHT would concentrate on interpreting and recording the myths and legends of Dacorum.  This would also include looking at rural superstitions and ghost stories. </t>
  </si>
  <si>
    <t>de Havilland Aircraft Heritage Centre</t>
  </si>
  <si>
    <t>Yes - The Museum celebrated 75th Anniversary Flight of Mosquito Prototype and was open for an additional 3 days during November 2015</t>
  </si>
  <si>
    <t>Several Share Museum East Training Courses including Enterprise Development focusing on Legacy Donations</t>
  </si>
  <si>
    <t>Diss Museum</t>
  </si>
  <si>
    <t>Not known</t>
  </si>
  <si>
    <t>Dunwich Museum</t>
  </si>
  <si>
    <t>not known</t>
  </si>
  <si>
    <t>c 860</t>
  </si>
  <si>
    <t>Medieval walks around the village</t>
  </si>
  <si>
    <t>no</t>
  </si>
  <si>
    <t>We have not worked with Share in 2015, but hope to soon.</t>
  </si>
  <si>
    <t>Closed for re-development Novenver-March so were unable to open for 'Santa' specials</t>
  </si>
  <si>
    <t>Not recorded</t>
  </si>
  <si>
    <t>East Anglian Railway Museum</t>
  </si>
  <si>
    <t>Elizabethan House Museum (Norfolk Museums Service)</t>
  </si>
  <si>
    <t>Ely Museum</t>
  </si>
  <si>
    <t>no change</t>
  </si>
  <si>
    <t>We have greatly valued all the opportunities provided by SHARE and we look forward to participating in many sessions over the next year</t>
  </si>
  <si>
    <t>Epping Forest District Museum</t>
  </si>
  <si>
    <t>NB only reopened after HLF refurbishment on 19th March 2016 so only two weeks worth of hours to count – open 31 hours per week, therefore 62 hours for this financial year</t>
  </si>
  <si>
    <t>Closed for redevelopment for the whole of 2015 – only reopened on 19th March 2016</t>
  </si>
  <si>
    <t>3894 – council website; 4179 – local history website</t>
  </si>
  <si>
    <t>As mentioned in the return for Lowewood Museum, Herts, Epping Forest District Museum has benefitted from the support of SHAREd Enterprise Fundraising Strategy cohort, and the capital grant scheme to improve security and environmental monitoring.// Epping Forest District Museum’s Education Officer is currently involved in SHARE’s Changemakers Programme.//Epping Forest District Museum’s Manager benefited from involvement in the Fundraising and Commercial Activity Cohort and we are involved in the 2016 -17 Cohort as part of our ACE funded Resilience project.// The museum also benefits from involvement with Museums Essex, the Regional Learning Network and the Essex Museums Education Group.</t>
  </si>
  <si>
    <t xml:space="preserve">Essex Collection of Art from Latin America, University of Essex, </t>
  </si>
  <si>
    <t>University</t>
  </si>
  <si>
    <t>Essex Fire Museum</t>
  </si>
  <si>
    <t>Unknown</t>
  </si>
  <si>
    <t>Facebook - 645</t>
  </si>
  <si>
    <t>For some exhibitions/ seasonally</t>
  </si>
  <si>
    <t>I attended some training sessions, which I found to be beneficial. One example being the retail training as we're looking to open a shop in the future.</t>
  </si>
  <si>
    <t>Essex Police Museum</t>
  </si>
  <si>
    <t>SHARE training has been excellent, thank you. We were part of the Fundraising Cohort and we are now looking at legacies, and the posibility of apprenticeships</t>
  </si>
  <si>
    <t>Essex Regiment Museum</t>
  </si>
  <si>
    <t>Fakenham Museum of Gas and Local History</t>
  </si>
  <si>
    <t>Recording of Visitor numbers has been reviewed to bring greater accuracy and information capture, effect will be better understood in 2016-17 figures</t>
  </si>
  <si>
    <t>This information was not captured during the period under review</t>
  </si>
  <si>
    <t>The museum has benefited from advice and support through share to such a degree that it would have been very difficult to function effectively without it</t>
  </si>
  <si>
    <t>Felbrigg Hall, Gardens and Estate</t>
  </si>
  <si>
    <t>Felixstowe Museum</t>
  </si>
  <si>
    <t>We did not receive an invitation to participate in Benchmarking 2014-15 so no figures available</t>
  </si>
  <si>
    <t>6700 using Google Analytics</t>
  </si>
  <si>
    <t>Facebook  423        TripAdvisor  50 reviews</t>
  </si>
  <si>
    <t>We have received both support and advice from our local MDO, Lyn Gash,  and our museum mentor, Jayne Austin, on a plethora of issues. This is always a very positive experience and we cannot thank them enough for their encouragement and insight.  Further valuable support comes through the Association for Suffolk Museums  and  SHARE East in the form of training and networking.  At present we are working towards re accreditation so this is our main focus.  We intend availing ourselves of suitable relevant training days coming up in the next year.</t>
  </si>
  <si>
    <t>Fitzwilliam Museum</t>
  </si>
  <si>
    <t>Our visitor figures in 2014/15 were lower than usual because of building works affecting the main entrance that year</t>
  </si>
  <si>
    <t>We have received and given advice through SHARE and it remains a very important part of our Museum's activities.</t>
  </si>
  <si>
    <t>Fry Art Gallery</t>
  </si>
  <si>
    <t>none</t>
  </si>
  <si>
    <t>Fundraising cohort and Volunteer coordination were GREAT so we will continue with these and similar courses not to mention the useful contacts we picked up on the way.</t>
  </si>
  <si>
    <t>Gainsborough's House Society</t>
  </si>
  <si>
    <t>Garden City Collection, Letchworth</t>
  </si>
  <si>
    <t>Twitter 621, Facebook 128 likes</t>
  </si>
  <si>
    <t>Yes, attended training sessions - particularly helpful for Accreditation</t>
  </si>
  <si>
    <t>Gressenhall Farm &amp; Workhouse (Norfolk Museum Service)</t>
  </si>
  <si>
    <t>Halesworth &amp; District Museum</t>
  </si>
  <si>
    <t>Harlow Museum</t>
  </si>
  <si>
    <t>Haverhill &amp; District Local History Group</t>
  </si>
  <si>
    <t>Arts Centre refurbishing January 2016 - 3 weeks.</t>
  </si>
  <si>
    <t/>
  </si>
  <si>
    <t>Hertford Museum</t>
  </si>
  <si>
    <t>North Herts Museums Service</t>
  </si>
  <si>
    <t>Yes (closed for redevelopment)</t>
  </si>
  <si>
    <t>None - as not yet open</t>
  </si>
  <si>
    <t>CLOSED - not yet open</t>
  </si>
  <si>
    <t>We received Arts Council Resilience Funding, for a volunteering partnership project with Stevenage Museum and the Hitchin British Schools Museum, which was extremely useful. We’ve recently heard that the same three museum partnership has been successful in the latest round of Resilience Funding, for a 16 month digital project.</t>
  </si>
  <si>
    <t>HMS Ganges Museum</t>
  </si>
  <si>
    <t>Provisional Accreditation (8 months)</t>
  </si>
  <si>
    <t>OPEN ON WEDNESDAY MORNINGS</t>
  </si>
  <si>
    <t>NOT KNOWN - new website</t>
  </si>
  <si>
    <t xml:space="preserve">Lyn Gash has been an amazing and helpful Curatorial Advisor, seeing us through considerable changes in Trustees and in successfully applying for Accreditation. This is to continue with Lyn’s replacement Advisor for a new application in January 2017. </t>
  </si>
  <si>
    <t>Hollytrees Museum (CIMS)</t>
  </si>
  <si>
    <t>Ickworth House</t>
  </si>
  <si>
    <t>Imperial War Museum Duxford</t>
  </si>
  <si>
    <t>National</t>
  </si>
  <si>
    <t>The American Air Museum at IWM Duxford was temporarily shut from 2 March 2015 while a major redevelopment project was underway. It reopened to the public on 19 March 2016. We experienced a particularly successful Air Show season in 2015.</t>
  </si>
  <si>
    <t>5,744,490 (IWM group)</t>
  </si>
  <si>
    <t>924,539 (IWM Duxford Facebook page, the rest of the subscribers follow IWM platforms</t>
  </si>
  <si>
    <t>n/a (most posts are centralised and staff work across the IWM group) 450 staff employed at IWM</t>
  </si>
  <si>
    <t xml:space="preserve">Yes. We value the shared insights and support from our membership of the SHARE East Volunteer Coordinators forum </t>
  </si>
  <si>
    <t>Provisional Accreditation (10 months)</t>
  </si>
  <si>
    <t>Ipswich Museum (CIMS)</t>
  </si>
  <si>
    <t>Ipswich Transport Museum</t>
  </si>
  <si>
    <t>Facebook</t>
  </si>
  <si>
    <t>We have received support in the form of access to the front of house mystery shopper scheme, the museum supplied volunteers to go to other museums and as aresult we had our own FOH staff assessed with positive outcomes. The museum also has representation within the steering group of the volunteer co-ordinators forum which was launched during the early part of the year.</t>
  </si>
  <si>
    <t>John Bunyan Museum and Library</t>
  </si>
  <si>
    <t>none known</t>
  </si>
  <si>
    <t>don't know</t>
  </si>
  <si>
    <t>Has been very useful and supportive, would like to attend more training (and encourage volunteers) but often very far away. easy printable version of training calendar would be very helpful for non-computer using volunteers (50%)</t>
  </si>
  <si>
    <t>Kettle's Yard Museum</t>
  </si>
  <si>
    <t>Closed for redevelopment</t>
  </si>
  <si>
    <t>Lanman Museum</t>
  </si>
  <si>
    <t>please note - Museum entry is via a ticket to visit Framlingham Castle - thye estimate visitors at 50k approx - we have no independent method of estimating how many of these visit the museum</t>
  </si>
  <si>
    <t>we were involved in a project to look at how to select the correct platform for digital distribution of our entire collection last Sept. So far nothing has happened as we not received any involvement - a frustrating experience</t>
  </si>
  <si>
    <t>Lavenham Guildhall Museum</t>
  </si>
  <si>
    <t>Not Accredited</t>
  </si>
  <si>
    <t>Laxfield and District Museum</t>
  </si>
  <si>
    <t>Twitter - not known</t>
  </si>
  <si>
    <t>We have an assigned mentor from Museum of East Anglian Life with whom we have close contact. This is an ongoing  productive partnership</t>
  </si>
  <si>
    <t>Leighton Buzzard Railway Museum</t>
  </si>
  <si>
    <t>Letchworth Museum and Art Gallery (North Herts Museums Service)</t>
  </si>
  <si>
    <t>Little Hall Museum</t>
  </si>
  <si>
    <t>Supported in accreditation - would have been very difficult exercise without,</t>
  </si>
  <si>
    <t>Long Shop Museum</t>
  </si>
  <si>
    <t>Not possible to give nos of unique visitors - page views shown as 50,248</t>
  </si>
  <si>
    <t>Twitter followers - 1096; Facebook 'likes' 618</t>
  </si>
  <si>
    <t xml:space="preserve">Trustee development support: v useful especially for new Chairman elect and new Trustees. Contributed to a much invigorated and strengthened Trustee body. Further task-specific development planned. Shared Enterprise individual fundraising grant and support - although it has been difficult to fit in the work necessary in order to complete the planned actions, this will now contribute to a major Fundraising drive. </t>
  </si>
  <si>
    <t>Lowestoft Maritime Museum</t>
  </si>
  <si>
    <t>Facebook - 300; Twitter - 250</t>
  </si>
  <si>
    <t>Lowestoft Museum</t>
  </si>
  <si>
    <t>numbers very similar</t>
  </si>
  <si>
    <t>Lowewood Museum</t>
  </si>
  <si>
    <t xml:space="preserve">Lowewood Museum has benefitted from the support of SHAREd Enterprise Fundraising Strategy cohort which has greatly enabled the upskilling of staff and support with the wider museum’s (Epping Forest District &amp; Lowewood Museum) resilience project looking at both our fundraising and commercial operations.// Lowewood Museum’s Development Officer also benefited from the 2014 Not Only But Also cohort which greatly helped to improve a range of professional skills including governance, managing relationships, finance &amp; fundraising. Since then the group have gone on to form a new SHARE network – The Small Museums Curators Network.// Lowewood Museum was also part of the SHARE Mystery Shopper scheme.// Lowewood Museum also continues to receive support through its membership with The Hertfordshire Association of Museum (HAM), engaging with both the Herts Museums Curators Group and The Herts Education Group. As part of this the museum also received small grant funding from HAM. </t>
  </si>
  <si>
    <t>Maldon District Museum</t>
  </si>
  <si>
    <t>approx 2600</t>
  </si>
  <si>
    <t>TWITTER 1154</t>
  </si>
  <si>
    <t>N/K</t>
  </si>
  <si>
    <t>ASSISTANCE WITH ACCREDITATION</t>
  </si>
  <si>
    <t>March and District Museum</t>
  </si>
  <si>
    <t>We have benefitted from succession planning and change of governance with the support of Cambridgeshire County Council and Share funding.</t>
  </si>
  <si>
    <t>Melford Hall</t>
  </si>
  <si>
    <t>Mersea Island Museum</t>
  </si>
  <si>
    <t>?</t>
  </si>
  <si>
    <t>Impossible to quantify</t>
  </si>
  <si>
    <t>Mid Suffolk Light Railway</t>
  </si>
  <si>
    <t>Mildenhall &amp; District Museum</t>
  </si>
  <si>
    <t>Previous year was first full year after redevelopment and visitor numbers were higher than usual.</t>
  </si>
  <si>
    <t>N/A (Facebook)</t>
  </si>
  <si>
    <t>‘SHARE’ training sessions on Reminiscence work and Object Handling were most useful.  Following the former, all the local care homes were contacted and subsequently visits were arranged.</t>
  </si>
  <si>
    <t>Mill Green Museum &amp; Mill (Welwyn Hatfield Museum Service)</t>
  </si>
  <si>
    <t>Welwyn Hatfield Museum Service</t>
  </si>
  <si>
    <t>Moyse's Hall Museum (St Edmundsbury Heritage)</t>
  </si>
  <si>
    <t>Much Hadham Forge Museum</t>
  </si>
  <si>
    <t>Mundesley Maritime Museum</t>
  </si>
  <si>
    <t>Book Launch</t>
  </si>
  <si>
    <t>Book Launch. History of Mundesley</t>
  </si>
  <si>
    <t>Museum of Cambridge</t>
  </si>
  <si>
    <t>Closure of Kettle's Yard</t>
  </si>
  <si>
    <t>Facebook, Twitter</t>
  </si>
  <si>
    <t>Museum of Classical Archaeology, University of Cambridge</t>
  </si>
  <si>
    <t>I done various training workshops and have benefited from accreditation advice; will continue to use training</t>
  </si>
  <si>
    <t>Museum of East Anglian Life</t>
  </si>
  <si>
    <t>Museum of Power</t>
  </si>
  <si>
    <t>Museum of St Albans</t>
  </si>
  <si>
    <t>St Albans Museums</t>
  </si>
  <si>
    <t>Museum of the Broads</t>
  </si>
  <si>
    <t>have special themed exhibition annually</t>
  </si>
  <si>
    <t>closed for redevelopment</t>
  </si>
  <si>
    <t>95,656 page visits</t>
  </si>
  <si>
    <t>All members of staff attend the forums on Marketing, volunteer management, retail, collections care and visitor services on a quartlerly basis and find the network and knowledge share extremely valuable</t>
  </si>
  <si>
    <t>nO</t>
  </si>
  <si>
    <t>Natural History Museum at Tring</t>
  </si>
  <si>
    <t>From main site's response</t>
  </si>
  <si>
    <t>Nelson Museum</t>
  </si>
  <si>
    <t>SHARE are always helpful and most useful.</t>
  </si>
  <si>
    <t>Nene Valley Railway</t>
  </si>
  <si>
    <t>Every day (0900 - 1800)</t>
  </si>
  <si>
    <t>The support we received was of enormous practical assistance and the professional allocated to the Nene Valley Railway went 'the extra mile' to assist.</t>
  </si>
  <si>
    <t>Norfolk &amp; Suffolk Aviation Museum</t>
  </si>
  <si>
    <t>Volunteer Coordinator Forum was found to be very useful</t>
  </si>
  <si>
    <t>Norfolk Tank Museum</t>
  </si>
  <si>
    <t xml:space="preserve">Opening more days per month </t>
  </si>
  <si>
    <t xml:space="preserve">Norris Museum </t>
  </si>
  <si>
    <t>The museum was closed from January to end of March 2016 due to refirbishment</t>
  </si>
  <si>
    <t>SHARE always provides valuable support and advice</t>
  </si>
  <si>
    <t>Northweald Airfield Museum</t>
  </si>
  <si>
    <t>Octavia Hills Birthplace House</t>
  </si>
  <si>
    <t>Old Merchants House</t>
  </si>
  <si>
    <t>Orford Museum</t>
  </si>
  <si>
    <t xml:space="preserve">Figure not available </t>
  </si>
  <si>
    <t xml:space="preserve">see above </t>
  </si>
  <si>
    <t>se above</t>
  </si>
  <si>
    <t xml:space="preserve">We have a museum mentor, Philip Wise, who is a great help and we are a member of AfSM who support and advise small museums. </t>
  </si>
  <si>
    <t>Oxburgh Hall</t>
  </si>
  <si>
    <t>Increased opening hours</t>
  </si>
  <si>
    <t>Don't know</t>
  </si>
  <si>
    <t>Share training for staff and volunteers has been invaluable.</t>
  </si>
  <si>
    <t>Paycockeʼs House &amp; Garden</t>
  </si>
  <si>
    <t>Peckover House and Garden</t>
  </si>
  <si>
    <t>Peter Coke Shell Gallery</t>
  </si>
  <si>
    <t>Similar to previous year, slightly down, probably due to weather etc., especially cold August Bank Holiday</t>
  </si>
  <si>
    <t>Peterborough Museum &amp; Art Gallery</t>
  </si>
  <si>
    <t>Twitter followers: 3,745 Facebook: 2764</t>
  </si>
  <si>
    <t xml:space="preserve">Support was really useful. CPD goals developed for individual staff members </t>
  </si>
  <si>
    <t>Potters Bar Museum</t>
  </si>
  <si>
    <t>Prickwillow Drainage Engine Museum</t>
  </si>
  <si>
    <t>Have attended some useful training sessions. Plan to extend the facilities for children, spread the fundraising streams</t>
  </si>
  <si>
    <t>Prittlewell Priory Museum (Southend Museum Service)</t>
  </si>
  <si>
    <t>Ramsey Rural Museum</t>
  </si>
  <si>
    <t>453 Facebook, 180Twitter</t>
  </si>
  <si>
    <t>6000, 5500 @ one event</t>
  </si>
  <si>
    <t>50+</t>
  </si>
  <si>
    <t>Obtained an Aim Preventative Conservation Scheme Grant for £3800 for a Conservator to deliver a report and training May 2016</t>
  </si>
  <si>
    <t>Rayleigh Town Museum</t>
  </si>
  <si>
    <t>Opened 9/4/2016</t>
  </si>
  <si>
    <t>495 likes &amp; 128 Twitter followers</t>
  </si>
  <si>
    <t>We are in regular contact with our Museum Development Officer and have a good ongoing relationship</t>
  </si>
  <si>
    <t>Rayleigh Windmill</t>
  </si>
  <si>
    <t>RNLI Henry Blogg Museum</t>
  </si>
  <si>
    <t>Row 111 Great Yarmouth</t>
  </si>
  <si>
    <t>Royal Anglian Regiment Museum</t>
  </si>
  <si>
    <t xml:space="preserve">11am-4pm (Winter) 10am-6pm (summer) apart from Christmas Day </t>
  </si>
  <si>
    <t>Twitter, Facebook, Trip Advisor</t>
  </si>
  <si>
    <t>Every Thursday, plus other odd days</t>
  </si>
  <si>
    <t>Accreditation training x2, Curator panels. Extremely interesting. SHARE East Accreditation training left me well prepared to submit our return in May 2016.</t>
  </si>
  <si>
    <t>Royal Norfolk Regimental Museum</t>
  </si>
  <si>
    <t>Royston &amp; District Museum &amp; Art Gallery</t>
  </si>
  <si>
    <t>Significant increase in visitor figures - developed full events programme, raised profile of museum significantly</t>
  </si>
  <si>
    <t>Facebook: 249 ; Twitter: 758</t>
  </si>
  <si>
    <t xml:space="preserve">Always helpful and supportive.  Hoping to work on crowd-funding campaign with further SHARE support next year.  </t>
  </si>
  <si>
    <t>Saffron Walden Museum</t>
  </si>
  <si>
    <t>We have Public (all ages) &amp; Schools figures only available</t>
  </si>
  <si>
    <t>More / larger on-site events May-June in 2015. New museum website and Community of Collectors exhibition may have contributed to increase in visitors over 2014-15</t>
  </si>
  <si>
    <t>Figures at end of March 2016: 678 Likers (Facebook); 1,432 Followers (Twitter)</t>
  </si>
  <si>
    <t>SHARE courses useful// Essex : Essex CC Arts Development Grant seminar very useful (followed by successful application for grant and project run in 2016)//For reasons referred to in 5 above, the Museum has not had the capacity this year to pursue other projects which might have led to more need fro support and advice.</t>
  </si>
  <si>
    <t>Sainsbury Centre for Visual Arts, UEA</t>
  </si>
  <si>
    <t>Saxmundham Museum</t>
  </si>
  <si>
    <t>Saxtead Mill</t>
  </si>
  <si>
    <t>Sedgwick Museum of Earth Sciences</t>
  </si>
  <si>
    <t>Shaw's Corner (National Trust)</t>
  </si>
  <si>
    <t>Sheringham Museum Trust</t>
  </si>
  <si>
    <t>partial closure in October to allow for redevelopment work. No temporary exhibition.</t>
  </si>
  <si>
    <t xml:space="preserve">SHARE Museums East has been essential to the ongoing development of the museum. We have attended training days and also sought individual advice from the MDM and MDO as well as their colleagues on funding and planning for a major capital redevelopment. We were also participants in the SHARED Enterprise training which resulted in positive outcomes for grant income. They are essential to this museum in supporting us where internal expertise has gaps. </t>
  </si>
  <si>
    <t>South Church Hall Museum (Southend Museum Service)</t>
  </si>
  <si>
    <t>Southend Central Museum and Planetarium (Southend Museum Service)</t>
  </si>
  <si>
    <t>Southend Pier Museum</t>
  </si>
  <si>
    <t>Southwold Museum</t>
  </si>
  <si>
    <t>St Neots Museum</t>
  </si>
  <si>
    <t>St Seraphim's Icon and Railway Heritage Museum</t>
  </si>
  <si>
    <t>Part of the display is open daily 9am to 5pm and the other display is open every Wednesday and Saturday 2 to 4pm.</t>
  </si>
  <si>
    <t>Anglican Shrine Education Department brings schools as part of their programme</t>
  </si>
  <si>
    <t>The Museum Development Programme support is ongoing and is vital to our development, providing expertise, skill and helpful advice when needed. We are working towards a permanent display which requires essential repair and maintenance to the building in order for this to happen.</t>
  </si>
  <si>
    <t>Stained Glass Museum</t>
  </si>
  <si>
    <t>SHARE Museums East is an invaluable source of information. We have been involved in several training events and cmost recently the Fundraising Cohort which enabled us to gain expert advice on increasing fundraising. As a result of this we have introduced a legacy leaflet and are drafting a fundraising plan. SHARE provides vital opportunities for small museums to work together and learn from each other to ensure we can ensure Museums in the region remain dynamic and resilient.</t>
  </si>
  <si>
    <t>Stevenage Museum</t>
  </si>
  <si>
    <t>Flood 18 July 2015, some closure to allow repairs,slow phased re-opening for events from October half term, galleries from 12 March 2016</t>
  </si>
  <si>
    <t>As well as attending some great training, we access several networks and have had support with our forward planning and with a member of staff attending Changemakers. We really appreciate the help and support available, it makes us focus and think more critically about what we are doing and helps us find creative solutions to the challenges we face.</t>
  </si>
  <si>
    <t>Stockwood Discovery Centre (Museums Luton)</t>
  </si>
  <si>
    <t>Museums Luton</t>
  </si>
  <si>
    <t>Facebook - 886; Twitter - 3,095</t>
  </si>
  <si>
    <t>Stow Maries Airfield</t>
  </si>
  <si>
    <t>Strangers Hall (Norfolk Museum Service)</t>
  </si>
  <si>
    <t>Suffolk Regiment Museum</t>
  </si>
  <si>
    <t>2014-15 was an exceptional year thanks to the interest generated by the centenary of the outbreak of the Great War</t>
  </si>
  <si>
    <t>Swaffham Museum</t>
  </si>
  <si>
    <t>Unknown as some loan boxes were shared between schools</t>
  </si>
  <si>
    <t>We have received support from a consultant to help with our Collections Review. This enabled us to draw up an achievable plan to catalogue and photograph our collections. This help was practical and delivered in such a way that the volunteers felt empowered to do the work.</t>
  </si>
  <si>
    <t>The Farmland Museum &amp; Denny Abbey</t>
  </si>
  <si>
    <t>always useful workshops</t>
  </si>
  <si>
    <t>The Higgins Art Gallery &amp; Museum</t>
  </si>
  <si>
    <t xml:space="preserve">8.5% increase on 2014/15. Attributed to success of temporary exhibition programme and partnership events. </t>
  </si>
  <si>
    <t>Support and advice from Museum Development Officer. Taken advantage of training opportunities and conferences.</t>
  </si>
  <si>
    <t>The Muckleburgh military Collection</t>
  </si>
  <si>
    <t>Not this year</t>
  </si>
  <si>
    <t>The Munnings Art Museum</t>
  </si>
  <si>
    <t>The Polar Museum, Scott Polar Research Institute</t>
  </si>
  <si>
    <t>86,266 (Google Analytics, page views)</t>
  </si>
  <si>
    <t>Twitter: 4886; Facebook: 2.039</t>
  </si>
  <si>
    <t>The Red House, Aldeburgh</t>
  </si>
  <si>
    <t>6 (started recording from March 2016)</t>
  </si>
  <si>
    <t>Twitter: 681, Facebook: 732</t>
  </si>
  <si>
    <t xml:space="preserve">Our new General Director, who started their post in October 2015, has received support from our local MDO with a one to one session as well as gaining access to the Heads meeting and MEE (Museums of East England). Staff have also attended various SHARE East events from retail to front of house workshops.// We find that our MDOs are extremely useful and vital to our future. We already have plans for their support in our forthcoming accreditation and accessing more networks in the area. </t>
  </si>
  <si>
    <t>The Vestey Gallery of British Sporting Art</t>
  </si>
  <si>
    <t>The William Marriott Museum</t>
  </si>
  <si>
    <t>Thorney Heritage Museum</t>
  </si>
  <si>
    <t>Eastern BusFest visitors in May 2016 – new event brought additional visitors</t>
  </si>
  <si>
    <t>We have been supported mostly through an independent consultant , Simon Davies, and the moicro-consultancy grant received from AIM in 2014/5.</t>
  </si>
  <si>
    <t>Time and Tide Museum, Great Yarmouth (Norfolk Museums Service)</t>
  </si>
  <si>
    <t>Tolhouse Museum (Norfolk Museum Service)</t>
  </si>
  <si>
    <t>True's Yard</t>
  </si>
  <si>
    <t>University of Hertfordshire Art Collection</t>
  </si>
  <si>
    <t>New gallery space opening Oct 2016</t>
  </si>
  <si>
    <t>New website only just gone live</t>
  </si>
  <si>
    <t>4000 Twitter</t>
  </si>
  <si>
    <t xml:space="preserve">I have just discovered Share and have signed myself and my team for 6 training sessions later this year </t>
  </si>
  <si>
    <t>Verulamium Museum (St Albans Museums)</t>
  </si>
  <si>
    <t>Sandridge Gold Coin Hoard went on display in September 2015. Our other museum closed in Sept 2015, so we moved some of the events and activity to Verulamium.</t>
  </si>
  <si>
    <t>Museum staff at all levels work with SHARE. They all find the advice/training/networking useful and relevant.</t>
  </si>
  <si>
    <t>Museum closed in February for refurbishment. This is a 12-month process.</t>
  </si>
  <si>
    <t>Facebook - 866; Twitter - 3,095</t>
  </si>
  <si>
    <t>See Stockwood Form</t>
  </si>
  <si>
    <t>£N/A</t>
  </si>
  <si>
    <t>see main form</t>
  </si>
  <si>
    <t>Ware Museum</t>
  </si>
  <si>
    <t>Warner Textile Archive</t>
  </si>
  <si>
    <t>Watford Museum</t>
  </si>
  <si>
    <t>We use personal rather than a Museum page as we are not allowed one.</t>
  </si>
  <si>
    <t>14</t>
  </si>
  <si>
    <t>Welwyn Roman Baths (Welwyn Hatfield Museum Service)</t>
  </si>
  <si>
    <t>NO</t>
  </si>
  <si>
    <t>1041</t>
  </si>
  <si>
    <t>105</t>
  </si>
  <si>
    <t>Excellent as always</t>
  </si>
  <si>
    <t>West Stow Anglo-Saxon Centre</t>
  </si>
  <si>
    <t>295</t>
  </si>
  <si>
    <t>Whipple Museum of the History of Science</t>
  </si>
  <si>
    <t>1753</t>
  </si>
  <si>
    <t>Whittlesey Museum</t>
  </si>
  <si>
    <t>Unknown - joomla site package does not allow analytics. Facebook gets 500-1000 per post if it has a photo.</t>
  </si>
  <si>
    <t>475 facebook 2100 instagram 150 Twitter</t>
  </si>
  <si>
    <t>2</t>
  </si>
  <si>
    <t>I had some queries about outreach passed around by Simon Floyd, which was useful as a jumping off point to developing my own ideas. We participated in the volunteer awards and are currently mystery shopping.</t>
  </si>
  <si>
    <t>Wimpole Hall</t>
  </si>
  <si>
    <t>Wisbech &amp; Fenland Museum</t>
  </si>
  <si>
    <t>30</t>
  </si>
  <si>
    <t>Conservation Audit – will be used to improve collections housekeeping and to support grant applications for conservation related projects.</t>
  </si>
  <si>
    <t>Woburn Heritage Centre</t>
  </si>
  <si>
    <t>NONE</t>
  </si>
  <si>
    <t>TWO OF OUR VOLUNTEERS ATTENDED AN EDUCATIONAL FORUM AT STOTFOLD MILL AND FOUND IT VERY INTERESTING AND HELPFUL</t>
  </si>
  <si>
    <t>1678</t>
  </si>
  <si>
    <t>Castle Museum &amp; Art Gallery</t>
  </si>
  <si>
    <t>Individuals accessed SHARE training opportunities and supported delivery of sessions.</t>
  </si>
  <si>
    <t>1560</t>
  </si>
  <si>
    <t>2242</t>
  </si>
  <si>
    <t>241821</t>
  </si>
  <si>
    <t>1368</t>
  </si>
  <si>
    <t>Share support in North Norfolk has been useful in detailing museums engagement to NNDC</t>
  </si>
  <si>
    <t>1152</t>
  </si>
  <si>
    <t>No change</t>
  </si>
  <si>
    <t>GY based NMS staff have benefitted from Share training offers</t>
  </si>
  <si>
    <t>1709</t>
  </si>
  <si>
    <t>Redevelopment of Workhouse galleries - limited offer throughout 2015-16 owing to gallery closure</t>
  </si>
  <si>
    <t>"Individuals accessed SHARE training opportunities and supported delivery of sessions.</t>
  </si>
  <si>
    <t>1813</t>
  </si>
  <si>
    <t>522</t>
  </si>
  <si>
    <t>2178</t>
  </si>
  <si>
    <t>Share training and workshops have supported various NMS staff from GY and accreditation advice has been welcome</t>
  </si>
  <si>
    <t>480</t>
  </si>
  <si>
    <t>861</t>
  </si>
  <si>
    <t>3192</t>
  </si>
  <si>
    <t>Southend Central</t>
  </si>
  <si>
    <t>2016</t>
  </si>
  <si>
    <t>48891</t>
  </si>
  <si>
    <t>One  outdoor event cancelled , festival blighted by torrential rain! Very few attended</t>
  </si>
  <si>
    <t>The Lynn Museum (Norfolk Museum Service)</t>
  </si>
  <si>
    <t>The Ancient House, Museum of Thetford Life (Norfolk Museums Service)</t>
  </si>
  <si>
    <t>Norwich Castle Museum &amp; Art Gallery (Norfolk Museums Service)</t>
  </si>
  <si>
    <t>Museum of Norwich at the Bridewell</t>
  </si>
  <si>
    <t>The East Anglia Transport Museum</t>
  </si>
  <si>
    <t>Flag Fen</t>
  </si>
  <si>
    <t>National Heritage Centre for Horseracing and Sporting Art</t>
  </si>
  <si>
    <t>University Museum of Zoology, Cambridge</t>
  </si>
  <si>
    <t>Natural History Museum, Colchester (CIMS)</t>
  </si>
  <si>
    <t>The Panacea Museum</t>
  </si>
  <si>
    <t>RAF Defence Radar Museum</t>
  </si>
  <si>
    <t>Woodbridge Museum</t>
  </si>
  <si>
    <t>Wymondham Heritage Museum</t>
  </si>
  <si>
    <t>Housed in Norwich Castle Museum</t>
  </si>
  <si>
    <t>University of Cambridge Museum of Archaeology &amp; Anthroplogy</t>
  </si>
  <si>
    <t>Intelligence Corp Museum, Chicksands</t>
  </si>
  <si>
    <t>Housed in Chelmsford Museum</t>
  </si>
  <si>
    <t>Open all year round</t>
  </si>
  <si>
    <t>Closed part of the year – regular seasonal closure</t>
  </si>
  <si>
    <t>Closed part of the year other – e.g. refurbishment repairs</t>
  </si>
  <si>
    <t>Open by appointment only - all year</t>
  </si>
  <si>
    <t>Closed part of the year – regular seasonal closure/ By appointment only – part of the year</t>
  </si>
  <si>
    <t>Size</t>
  </si>
  <si>
    <t>Small</t>
  </si>
  <si>
    <t>Medium</t>
  </si>
  <si>
    <t>Large</t>
  </si>
  <si>
    <t>X Large</t>
  </si>
  <si>
    <t>Adult adjusted visits</t>
  </si>
  <si>
    <t>Percentage change</t>
  </si>
  <si>
    <t>Number of volunteers 2015/16</t>
  </si>
  <si>
    <t>Volunteer hours 2015/16</t>
  </si>
  <si>
    <t>See Wardown Park</t>
  </si>
  <si>
    <t>Participants</t>
  </si>
  <si>
    <t>estimate</t>
  </si>
  <si>
    <t>Type (ACE data)</t>
  </si>
  <si>
    <t>No. of volunteers 13/14</t>
  </si>
  <si>
    <t>No. volunteer hrs / annum 13/14</t>
  </si>
  <si>
    <t>Visitors 2009/10</t>
  </si>
  <si>
    <t>Visitors 2010/11</t>
  </si>
  <si>
    <t>Visitors 2011/12</t>
  </si>
  <si>
    <t>Visitors 2012/13</t>
  </si>
  <si>
    <t>Visitors 2008/09</t>
  </si>
  <si>
    <t>Adult entrance fee</t>
  </si>
  <si>
    <t>Child entrance fee</t>
  </si>
  <si>
    <t>Retail offer?</t>
  </si>
  <si>
    <t>In-house catering?</t>
  </si>
  <si>
    <t xml:space="preserve">FTE posts </t>
  </si>
  <si>
    <t>AIM induced employment impact calculation (FTE posts)</t>
  </si>
  <si>
    <t>Contracted out catering?</t>
  </si>
  <si>
    <t>AIM direct, indirect and induced expenditure impacts</t>
  </si>
  <si>
    <t>Q21. How many other activities did your museum deliver on-site?(With non-education providers e.g. the Brownies/a local Arts Organisation or self led, such as research work. It can include any workshops, seminars, talks, lectures and individual research sessions</t>
  </si>
  <si>
    <t>Total visitor impacts</t>
  </si>
  <si>
    <t>Visitors 2013/14</t>
  </si>
  <si>
    <t>Hitchin Museum &amp; Art Gallery (North Herts Museums Service)</t>
  </si>
  <si>
    <t>Volunteer hours value</t>
  </si>
  <si>
    <t>Total economic impacts</t>
  </si>
  <si>
    <t xml:space="preserve">We very much enjoyed the Forward Planning programme and found writing our 2016-2019 Forward Plan an effective process. It has also flagged several areas of under-development and some issues that we will need to tackle over the next year. </t>
  </si>
  <si>
    <t>AIM local visitor impact</t>
  </si>
  <si>
    <t>AIM day visitor impact</t>
  </si>
  <si>
    <t xml:space="preserve">How would you class the museum's opening hours? </t>
  </si>
  <si>
    <t>AIM total employment impact (direct and induced FTE posts)</t>
  </si>
  <si>
    <t>Wardown Park Museum (Museums Luton)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</si>
</sst>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 numFmtId="166" formatCode="0.00000"/>
    <numFmt numFmtId="167" formatCode="0.0000"/>
    <numFmt numFmtId="168" formatCode="0.000"/>
    <numFmt numFmtId="169" formatCode="0.0"/>
  </numFmts>
  <fonts count="47">
    <font>
      <sz val="11"/>
      <color theme="1"/>
      <name val="Calibri"/>
      <family val="2"/>
    </font>
    <font>
      <sz val="11"/>
      <color indexed="8"/>
      <name val="Calibri"/>
      <family val="2"/>
    </font>
    <font>
      <sz val="10"/>
      <color indexed="8"/>
      <name val="Arial"/>
      <family val="2"/>
    </font>
    <font>
      <sz val="11"/>
      <name val="Calibri"/>
      <family val="2"/>
    </font>
    <font>
      <b/>
      <sz val="9"/>
      <name val="Tahoma"/>
      <family val="2"/>
    </font>
    <font>
      <sz val="9"/>
      <name val="Tahoma"/>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color indexed="63"/>
      <name val="Calibri"/>
      <family val="2"/>
    </font>
    <font>
      <sz val="14"/>
      <color indexed="63"/>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555555"/>
      <name val="Calibri"/>
      <family val="2"/>
    </font>
    <font>
      <sz val="14"/>
      <color rgb="FF222222"/>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5">
    <xf numFmtId="0" fontId="0" fillId="0" borderId="0" xfId="0" applyFont="1" applyAlignment="1">
      <alignment/>
    </xf>
    <xf numFmtId="0" fontId="24" fillId="33" borderId="10" xfId="0" applyFont="1" applyFill="1" applyBorder="1" applyAlignment="1">
      <alignment horizontal="left" vertical="top" wrapText="1"/>
    </xf>
    <xf numFmtId="1" fontId="3" fillId="0" borderId="10" xfId="0" applyNumberFormat="1" applyFont="1" applyFill="1" applyBorder="1" applyAlignment="1">
      <alignment horizontal="center" vertical="top" wrapText="1"/>
    </xf>
    <xf numFmtId="0" fontId="3" fillId="0" borderId="10" xfId="0" applyFont="1" applyFill="1" applyBorder="1" applyAlignment="1">
      <alignment vertical="top" wrapText="1"/>
    </xf>
    <xf numFmtId="0" fontId="24" fillId="33" borderId="10" xfId="0" applyFont="1" applyFill="1" applyBorder="1" applyAlignment="1">
      <alignment vertical="top" wrapText="1"/>
    </xf>
    <xf numFmtId="0" fontId="42" fillId="33" borderId="10" xfId="0" applyFont="1" applyFill="1" applyBorder="1" applyAlignment="1">
      <alignment vertical="top"/>
    </xf>
    <xf numFmtId="0" fontId="24" fillId="33" borderId="10" xfId="0" applyFont="1" applyFill="1" applyBorder="1" applyAlignment="1">
      <alignment horizontal="left" vertical="top" wrapText="1" shrinkToFit="1"/>
    </xf>
    <xf numFmtId="0" fontId="0" fillId="0" borderId="0" xfId="0" applyAlignment="1">
      <alignment vertical="top" wrapText="1" shrinkToFit="1"/>
    </xf>
    <xf numFmtId="0" fontId="3" fillId="0" borderId="10" xfId="55" applyNumberFormat="1" applyFont="1" applyFill="1" applyBorder="1" applyAlignment="1">
      <alignment vertical="top"/>
      <protection/>
    </xf>
    <xf numFmtId="0" fontId="0" fillId="0" borderId="0" xfId="0" applyAlignment="1">
      <alignment vertical="top"/>
    </xf>
    <xf numFmtId="0" fontId="3" fillId="0" borderId="10" xfId="0" applyNumberFormat="1" applyFont="1" applyFill="1" applyBorder="1" applyAlignment="1">
      <alignment vertical="top"/>
    </xf>
    <xf numFmtId="0" fontId="3" fillId="0" borderId="10" xfId="0" applyFont="1" applyFill="1" applyBorder="1" applyAlignment="1">
      <alignment vertical="top"/>
    </xf>
    <xf numFmtId="0" fontId="3" fillId="0" borderId="10" xfId="0" applyNumberFormat="1" applyFont="1" applyFill="1" applyBorder="1" applyAlignment="1">
      <alignment vertical="top" wrapText="1"/>
    </xf>
    <xf numFmtId="0" fontId="3" fillId="0" borderId="10" xfId="56" applyFont="1" applyFill="1" applyBorder="1" applyAlignment="1">
      <alignment horizontal="left" vertical="top" wrapText="1"/>
      <protection/>
    </xf>
    <xf numFmtId="0" fontId="0" fillId="0" borderId="10" xfId="0" applyNumberFormat="1" applyFont="1" applyFill="1" applyBorder="1" applyAlignment="1">
      <alignment vertical="top"/>
    </xf>
    <xf numFmtId="0" fontId="0" fillId="0" borderId="10" xfId="0" applyFont="1" applyFill="1" applyBorder="1" applyAlignment="1">
      <alignment vertical="top"/>
    </xf>
    <xf numFmtId="0" fontId="3" fillId="0" borderId="10" xfId="56" applyFont="1" applyFill="1" applyBorder="1" applyAlignment="1">
      <alignment vertical="top" wrapText="1"/>
      <protection/>
    </xf>
    <xf numFmtId="0" fontId="0" fillId="0" borderId="0" xfId="0" applyFill="1" applyAlignment="1">
      <alignment vertical="top"/>
    </xf>
    <xf numFmtId="3" fontId="3" fillId="0" borderId="10" xfId="0" applyNumberFormat="1" applyFont="1" applyFill="1" applyBorder="1" applyAlignment="1">
      <alignment vertical="top"/>
    </xf>
    <xf numFmtId="0" fontId="0" fillId="0" borderId="0" xfId="0" applyAlignment="1">
      <alignment vertical="top" wrapText="1"/>
    </xf>
    <xf numFmtId="0" fontId="0" fillId="0" borderId="10" xfId="0" applyNumberFormat="1" applyFont="1" applyFill="1" applyBorder="1" applyAlignment="1">
      <alignment vertical="top" wrapText="1"/>
    </xf>
    <xf numFmtId="0" fontId="0" fillId="0" borderId="10" xfId="0" applyFont="1" applyFill="1" applyBorder="1" applyAlignment="1">
      <alignment vertical="top" wrapText="1"/>
    </xf>
    <xf numFmtId="49" fontId="3" fillId="0" borderId="10" xfId="0" applyNumberFormat="1" applyFont="1" applyFill="1" applyBorder="1" applyAlignment="1">
      <alignment vertical="top" wrapText="1"/>
    </xf>
    <xf numFmtId="0" fontId="0" fillId="0" borderId="0" xfId="0" applyFont="1" applyAlignment="1">
      <alignment vertical="top" wrapText="1"/>
    </xf>
    <xf numFmtId="0" fontId="0" fillId="0" borderId="0" xfId="0" applyAlignment="1">
      <alignment horizontal="right" vertical="top"/>
    </xf>
    <xf numFmtId="0" fontId="0" fillId="0" borderId="0" xfId="0" applyAlignment="1">
      <alignment horizontal="left" vertical="top" wrapText="1" shrinkToFit="1"/>
    </xf>
    <xf numFmtId="0" fontId="0" fillId="0" borderId="0" xfId="0" applyAlignment="1">
      <alignment horizontal="left" vertical="top" wrapText="1"/>
    </xf>
    <xf numFmtId="0" fontId="0" fillId="0" borderId="0" xfId="0" applyFont="1" applyAlignment="1">
      <alignment vertical="top"/>
    </xf>
    <xf numFmtId="0" fontId="42" fillId="0" borderId="0" xfId="0" applyFont="1" applyAlignment="1">
      <alignment vertical="top"/>
    </xf>
    <xf numFmtId="3" fontId="0" fillId="0" borderId="10" xfId="0" applyNumberFormat="1" applyFont="1" applyFill="1" applyBorder="1" applyAlignment="1">
      <alignment vertical="top"/>
    </xf>
    <xf numFmtId="3" fontId="0" fillId="0" borderId="0" xfId="0" applyNumberFormat="1" applyFill="1" applyAlignment="1">
      <alignment vertical="top"/>
    </xf>
    <xf numFmtId="0" fontId="0" fillId="0" borderId="10" xfId="0" applyFont="1" applyFill="1" applyBorder="1" applyAlignment="1">
      <alignment vertical="top" wrapText="1" shrinkToFit="1"/>
    </xf>
    <xf numFmtId="9" fontId="0" fillId="0" borderId="10" xfId="0" applyNumberFormat="1" applyFont="1" applyFill="1" applyBorder="1" applyAlignment="1">
      <alignment vertical="top"/>
    </xf>
    <xf numFmtId="0" fontId="0" fillId="0" borderId="10" xfId="0" applyNumberFormat="1" applyFont="1" applyFill="1" applyBorder="1" applyAlignment="1">
      <alignment horizontal="left" vertical="top" wrapText="1"/>
    </xf>
    <xf numFmtId="165"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left" vertical="top" wrapText="1" shrinkToFit="1"/>
    </xf>
    <xf numFmtId="164" fontId="0" fillId="0" borderId="10" xfId="0" applyNumberFormat="1" applyFont="1" applyFill="1" applyBorder="1" applyAlignment="1">
      <alignment vertical="top"/>
    </xf>
    <xf numFmtId="164" fontId="42" fillId="0" borderId="10" xfId="0" applyNumberFormat="1" applyFont="1" applyFill="1" applyBorder="1" applyAlignment="1">
      <alignment vertical="top"/>
    </xf>
    <xf numFmtId="169" fontId="0" fillId="0" borderId="10" xfId="0" applyNumberFormat="1" applyFont="1" applyFill="1" applyBorder="1" applyAlignment="1">
      <alignment vertical="top"/>
    </xf>
    <xf numFmtId="0" fontId="0" fillId="0" borderId="10" xfId="0" applyNumberFormat="1" applyFont="1" applyFill="1" applyBorder="1" applyAlignment="1">
      <alignment vertical="top" wrapText="1" shrinkToFit="1"/>
    </xf>
    <xf numFmtId="0" fontId="3" fillId="0" borderId="10" xfId="55" applyNumberFormat="1" applyFont="1" applyFill="1" applyBorder="1" applyAlignment="1">
      <alignment vertical="top" wrapText="1" shrinkToFit="1"/>
      <protection/>
    </xf>
    <xf numFmtId="0" fontId="3" fillId="0" borderId="10" xfId="55" applyNumberFormat="1" applyFont="1" applyFill="1" applyBorder="1" applyAlignment="1">
      <alignment horizontal="left" vertical="top" wrapText="1"/>
      <protection/>
    </xf>
    <xf numFmtId="0" fontId="3" fillId="0" borderId="10" xfId="55" applyNumberFormat="1" applyFont="1" applyFill="1" applyBorder="1" applyAlignment="1">
      <alignment vertical="top" wrapText="1"/>
      <protection/>
    </xf>
    <xf numFmtId="0" fontId="3" fillId="0" borderId="10" xfId="55" applyNumberFormat="1" applyFont="1" applyFill="1" applyBorder="1" applyAlignment="1">
      <alignment horizontal="left" vertical="top" wrapText="1" shrinkToFit="1"/>
      <protection/>
    </xf>
    <xf numFmtId="169" fontId="3" fillId="0" borderId="10" xfId="55" applyNumberFormat="1" applyFont="1" applyFill="1" applyBorder="1" applyAlignment="1">
      <alignment vertical="top"/>
      <protection/>
    </xf>
    <xf numFmtId="1" fontId="3" fillId="0" borderId="10" xfId="55" applyNumberFormat="1" applyFont="1" applyFill="1" applyBorder="1" applyAlignment="1">
      <alignment vertical="top"/>
      <protection/>
    </xf>
    <xf numFmtId="1" fontId="3" fillId="0" borderId="10" xfId="55" applyNumberFormat="1" applyFont="1" applyFill="1" applyBorder="1" applyAlignment="1">
      <alignment horizontal="left" vertical="top" wrapText="1" shrinkToFit="1"/>
      <protection/>
    </xf>
    <xf numFmtId="0" fontId="44" fillId="0" borderId="10" xfId="0" applyFont="1" applyFill="1" applyBorder="1" applyAlignment="1">
      <alignment vertical="top" wrapText="1" shrinkToFit="1"/>
    </xf>
    <xf numFmtId="1" fontId="0" fillId="0" borderId="10" xfId="0" applyNumberFormat="1" applyFont="1" applyFill="1" applyBorder="1" applyAlignment="1">
      <alignment vertical="top"/>
    </xf>
    <xf numFmtId="1" fontId="0" fillId="0" borderId="10" xfId="0" applyNumberFormat="1" applyFont="1" applyFill="1" applyBorder="1" applyAlignment="1">
      <alignment vertical="top" wrapText="1"/>
    </xf>
    <xf numFmtId="1" fontId="0" fillId="0" borderId="10" xfId="0" applyNumberFormat="1" applyFont="1" applyFill="1" applyBorder="1" applyAlignment="1">
      <alignment horizontal="left" vertical="top" wrapText="1" shrinkToFit="1"/>
    </xf>
    <xf numFmtId="3" fontId="0" fillId="0" borderId="10" xfId="0" applyNumberFormat="1"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top" wrapText="1" shrinkToFit="1"/>
    </xf>
    <xf numFmtId="0" fontId="0" fillId="0" borderId="0" xfId="0" applyFont="1" applyFill="1" applyAlignment="1">
      <alignment vertical="top" wrapText="1"/>
    </xf>
    <xf numFmtId="0" fontId="0" fillId="0" borderId="0" xfId="0" applyFill="1" applyAlignment="1">
      <alignment vertical="top" wrapText="1" shrinkToFit="1"/>
    </xf>
    <xf numFmtId="0" fontId="45" fillId="0" borderId="0" xfId="0" applyFont="1" applyFill="1" applyAlignment="1">
      <alignment vertical="top"/>
    </xf>
    <xf numFmtId="0" fontId="0" fillId="0" borderId="0" xfId="0" applyFill="1" applyAlignment="1">
      <alignment horizontal="left" vertical="top" wrapText="1"/>
    </xf>
    <xf numFmtId="0" fontId="0" fillId="0" borderId="0" xfId="0" applyFill="1" applyAlignment="1">
      <alignment vertical="top" wrapText="1"/>
    </xf>
    <xf numFmtId="164" fontId="0" fillId="0" borderId="0" xfId="0" applyNumberFormat="1" applyFill="1" applyAlignment="1">
      <alignment horizontal="right" vertical="top"/>
    </xf>
    <xf numFmtId="0" fontId="0" fillId="0" borderId="0" xfId="0" applyFill="1" applyAlignment="1">
      <alignment horizontal="left" vertical="top" wrapText="1" shrinkToFit="1"/>
    </xf>
    <xf numFmtId="164" fontId="0" fillId="0" borderId="0" xfId="0" applyNumberFormat="1" applyFill="1" applyAlignment="1">
      <alignment vertical="top"/>
    </xf>
    <xf numFmtId="164" fontId="42" fillId="0" borderId="0" xfId="0" applyNumberFormat="1" applyFont="1" applyFill="1" applyAlignment="1">
      <alignment vertical="top"/>
    </xf>
    <xf numFmtId="0" fontId="0" fillId="0" borderId="0" xfId="0" applyFont="1" applyFill="1" applyAlignment="1">
      <alignment vertical="top"/>
    </xf>
    <xf numFmtId="0" fontId="42" fillId="0" borderId="0" xfId="0" applyFont="1" applyFill="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179"/>
  <sheetViews>
    <sheetView tabSelected="1" zoomScalePageLayoutView="90" workbookViewId="0" topLeftCell="A1">
      <pane xSplit="1" ySplit="1" topLeftCell="U36" activePane="bottomRight" state="frozen"/>
      <selection pane="topLeft" activeCell="A1" sqref="A1"/>
      <selection pane="topRight" activeCell="B1" sqref="B1"/>
      <selection pane="bottomLeft" activeCell="A2" sqref="A2"/>
      <selection pane="bottomRight" activeCell="M36" sqref="M36"/>
    </sheetView>
  </sheetViews>
  <sheetFormatPr defaultColWidth="8.7109375" defaultRowHeight="15"/>
  <cols>
    <col min="1" max="1" width="34.8515625" style="23" customWidth="1"/>
    <col min="2" max="2" width="13.00390625" style="9" customWidth="1"/>
    <col min="3" max="3" width="13.140625" style="9" customWidth="1"/>
    <col min="4" max="4" width="9.57421875" style="9" bestFit="1" customWidth="1"/>
    <col min="5" max="5" width="8.7109375" style="9" customWidth="1"/>
    <col min="6" max="6" width="11.421875" style="9" customWidth="1"/>
    <col min="7" max="7" width="15.140625" style="9" customWidth="1"/>
    <col min="8" max="8" width="14.421875" style="9" bestFit="1" customWidth="1"/>
    <col min="9" max="10" width="18.421875" style="7" customWidth="1"/>
    <col min="11" max="11" width="8.7109375" style="9" customWidth="1"/>
    <col min="12" max="17" width="8.8515625" style="17" customWidth="1"/>
    <col min="18" max="18" width="14.00390625" style="17" customWidth="1"/>
    <col min="19" max="19" width="11.57421875" style="9" customWidth="1"/>
    <col min="20" max="20" width="11.00390625" style="17" bestFit="1" customWidth="1"/>
    <col min="21" max="21" width="10.57421875" style="9" customWidth="1"/>
    <col min="22" max="22" width="13.28125" style="17" customWidth="1"/>
    <col min="23" max="23" width="10.57421875" style="9" customWidth="1"/>
    <col min="24" max="24" width="13.28125" style="17" customWidth="1"/>
    <col min="25" max="25" width="10.57421875" style="9" customWidth="1"/>
    <col min="26" max="26" width="21.421875" style="26" customWidth="1"/>
    <col min="27" max="27" width="10.57421875" style="9" customWidth="1"/>
    <col min="28" max="28" width="14.421875" style="17" customWidth="1"/>
    <col min="29" max="29" width="13.8515625" style="9" customWidth="1"/>
    <col min="30" max="30" width="22.140625" style="17" customWidth="1"/>
    <col min="31" max="31" width="24.140625" style="17" customWidth="1"/>
    <col min="32" max="32" width="14.28125" style="17" customWidth="1"/>
    <col min="33" max="33" width="10.421875" style="9" customWidth="1"/>
    <col min="34" max="34" width="34.00390625" style="9" bestFit="1" customWidth="1"/>
    <col min="35" max="35" width="12.7109375" style="19" customWidth="1"/>
    <col min="36" max="36" width="16.8515625" style="9" customWidth="1"/>
    <col min="37" max="37" width="10.57421875" style="9" customWidth="1"/>
    <col min="38" max="38" width="39.140625" style="9" customWidth="1"/>
    <col min="39" max="39" width="12.00390625" style="9" customWidth="1"/>
    <col min="40" max="40" width="10.57421875" style="9" customWidth="1"/>
    <col min="41" max="41" width="32.00390625" style="9" customWidth="1"/>
    <col min="42" max="42" width="13.421875" style="9" customWidth="1"/>
    <col min="43" max="43" width="10.57421875" style="9" customWidth="1"/>
    <col min="44" max="44" width="12.00390625" style="9" customWidth="1"/>
    <col min="45" max="46" width="12.28125" style="24" customWidth="1"/>
    <col min="47" max="49" width="10.57421875" style="9" customWidth="1"/>
    <col min="50" max="53" width="11.7109375" style="17" customWidth="1"/>
    <col min="54" max="57" width="10.8515625" style="9" customWidth="1"/>
    <col min="58" max="58" width="42.8515625" style="25" customWidth="1"/>
    <col min="59" max="60" width="12.28125" style="9" customWidth="1"/>
    <col min="61" max="61" width="12.28125" style="28" customWidth="1"/>
    <col min="62" max="62" width="15.00390625" style="27" customWidth="1"/>
    <col min="63" max="63" width="12.421875" style="28" customWidth="1"/>
    <col min="64" max="65" width="15.00390625" style="9" customWidth="1"/>
    <col min="66" max="66" width="12.421875" style="28" customWidth="1"/>
    <col min="67" max="16384" width="8.7109375" style="9" customWidth="1"/>
  </cols>
  <sheetData>
    <row r="1" spans="1:66" ht="112.5" customHeight="1">
      <c r="A1" s="1" t="s">
        <v>0</v>
      </c>
      <c r="B1" s="1" t="s">
        <v>1</v>
      </c>
      <c r="C1" s="4" t="s">
        <v>2</v>
      </c>
      <c r="D1" s="4" t="s">
        <v>3</v>
      </c>
      <c r="E1" s="4" t="s">
        <v>4</v>
      </c>
      <c r="F1" s="4" t="s">
        <v>5</v>
      </c>
      <c r="G1" s="5" t="s">
        <v>482</v>
      </c>
      <c r="H1" s="1" t="s">
        <v>6</v>
      </c>
      <c r="I1" s="6" t="s">
        <v>507</v>
      </c>
      <c r="J1" s="6" t="s">
        <v>7</v>
      </c>
      <c r="K1" s="1" t="s">
        <v>470</v>
      </c>
      <c r="L1" s="6" t="s">
        <v>489</v>
      </c>
      <c r="M1" s="6" t="s">
        <v>485</v>
      </c>
      <c r="N1" s="6" t="s">
        <v>486</v>
      </c>
      <c r="O1" s="6" t="s">
        <v>487</v>
      </c>
      <c r="P1" s="6" t="s">
        <v>488</v>
      </c>
      <c r="Q1" s="6" t="s">
        <v>500</v>
      </c>
      <c r="R1" s="6" t="s">
        <v>8</v>
      </c>
      <c r="S1" s="1" t="s">
        <v>476</v>
      </c>
      <c r="T1" s="6" t="s">
        <v>475</v>
      </c>
      <c r="U1" s="1" t="s">
        <v>9</v>
      </c>
      <c r="V1" s="6" t="s">
        <v>10</v>
      </c>
      <c r="W1" s="1" t="s">
        <v>11</v>
      </c>
      <c r="X1" s="6" t="s">
        <v>12</v>
      </c>
      <c r="Y1" s="1" t="s">
        <v>13</v>
      </c>
      <c r="Z1" s="1" t="s">
        <v>14</v>
      </c>
      <c r="AA1" s="1" t="s">
        <v>15</v>
      </c>
      <c r="AB1" s="6" t="s">
        <v>16</v>
      </c>
      <c r="AC1" s="1" t="s">
        <v>17</v>
      </c>
      <c r="AD1" s="6" t="s">
        <v>18</v>
      </c>
      <c r="AE1" s="6" t="s">
        <v>19</v>
      </c>
      <c r="AF1" s="6" t="s">
        <v>480</v>
      </c>
      <c r="AG1" s="1" t="s">
        <v>20</v>
      </c>
      <c r="AH1" s="1" t="s">
        <v>21</v>
      </c>
      <c r="AI1" s="1" t="s">
        <v>480</v>
      </c>
      <c r="AJ1" s="1" t="s">
        <v>22</v>
      </c>
      <c r="AK1" s="1" t="s">
        <v>23</v>
      </c>
      <c r="AL1" s="1" t="s">
        <v>498</v>
      </c>
      <c r="AM1" s="1" t="s">
        <v>480</v>
      </c>
      <c r="AN1" s="1" t="s">
        <v>24</v>
      </c>
      <c r="AO1" s="1" t="s">
        <v>25</v>
      </c>
      <c r="AP1" s="1" t="s">
        <v>480</v>
      </c>
      <c r="AQ1" s="1" t="s">
        <v>26</v>
      </c>
      <c r="AR1" s="1" t="s">
        <v>27</v>
      </c>
      <c r="AS1" s="1" t="s">
        <v>490</v>
      </c>
      <c r="AT1" s="1" t="s">
        <v>491</v>
      </c>
      <c r="AU1" s="1" t="s">
        <v>492</v>
      </c>
      <c r="AV1" s="1" t="s">
        <v>493</v>
      </c>
      <c r="AW1" s="1" t="s">
        <v>496</v>
      </c>
      <c r="AX1" s="1" t="s">
        <v>483</v>
      </c>
      <c r="AY1" s="1" t="s">
        <v>484</v>
      </c>
      <c r="AZ1" s="1" t="s">
        <v>477</v>
      </c>
      <c r="BA1" s="1" t="s">
        <v>478</v>
      </c>
      <c r="BB1" s="1" t="s">
        <v>28</v>
      </c>
      <c r="BC1" s="1" t="s">
        <v>29</v>
      </c>
      <c r="BD1" s="1" t="s">
        <v>494</v>
      </c>
      <c r="BE1" s="1" t="s">
        <v>30</v>
      </c>
      <c r="BF1" s="6" t="s">
        <v>31</v>
      </c>
      <c r="BG1" s="1" t="s">
        <v>505</v>
      </c>
      <c r="BH1" s="1" t="s">
        <v>506</v>
      </c>
      <c r="BI1" s="1" t="s">
        <v>499</v>
      </c>
      <c r="BJ1" s="1" t="s">
        <v>497</v>
      </c>
      <c r="BK1" s="1" t="s">
        <v>503</v>
      </c>
      <c r="BL1" s="1" t="s">
        <v>495</v>
      </c>
      <c r="BM1" s="1" t="s">
        <v>508</v>
      </c>
      <c r="BN1" s="1" t="s">
        <v>502</v>
      </c>
    </row>
    <row r="2" spans="1:70" ht="90">
      <c r="A2" s="12" t="s">
        <v>32</v>
      </c>
      <c r="B2" s="2">
        <v>665</v>
      </c>
      <c r="C2" s="3" t="s">
        <v>33</v>
      </c>
      <c r="D2" s="10" t="s">
        <v>34</v>
      </c>
      <c r="E2" s="10"/>
      <c r="F2" s="11" t="s">
        <v>35</v>
      </c>
      <c r="G2" s="3" t="s">
        <v>36</v>
      </c>
      <c r="H2" s="14" t="s">
        <v>37</v>
      </c>
      <c r="I2" s="31" t="s">
        <v>466</v>
      </c>
      <c r="J2" s="31" t="s">
        <v>39</v>
      </c>
      <c r="K2" s="14" t="s">
        <v>471</v>
      </c>
      <c r="L2" s="18">
        <v>7500</v>
      </c>
      <c r="M2" s="18">
        <v>6167</v>
      </c>
      <c r="N2" s="18">
        <v>6167</v>
      </c>
      <c r="O2" s="18">
        <v>5959</v>
      </c>
      <c r="P2" s="18">
        <v>7018</v>
      </c>
      <c r="Q2" s="18">
        <v>6642</v>
      </c>
      <c r="R2" s="18">
        <v>5862</v>
      </c>
      <c r="S2" s="32">
        <f>(R2-Q2)/R2</f>
        <v>-0.1330603889457523</v>
      </c>
      <c r="T2" s="18">
        <f>R2/100*77</f>
        <v>4513.74</v>
      </c>
      <c r="U2" s="14" t="s">
        <v>40</v>
      </c>
      <c r="V2" s="18" t="s">
        <v>41</v>
      </c>
      <c r="W2" s="14" t="s">
        <v>40</v>
      </c>
      <c r="X2" s="18" t="s">
        <v>41</v>
      </c>
      <c r="Y2" s="14" t="s">
        <v>40</v>
      </c>
      <c r="Z2" s="33" t="s">
        <v>41</v>
      </c>
      <c r="AA2" s="14" t="s">
        <v>35</v>
      </c>
      <c r="AB2" s="18" t="s">
        <v>41</v>
      </c>
      <c r="AC2" s="14" t="s">
        <v>35</v>
      </c>
      <c r="AD2" s="10">
        <v>622</v>
      </c>
      <c r="AE2" s="10">
        <v>34</v>
      </c>
      <c r="AF2" s="10">
        <v>2000</v>
      </c>
      <c r="AG2" s="14" t="s">
        <v>42</v>
      </c>
      <c r="AH2" s="14" t="s">
        <v>41</v>
      </c>
      <c r="AI2" s="20" t="s">
        <v>41</v>
      </c>
      <c r="AJ2" s="14" t="s">
        <v>41</v>
      </c>
      <c r="AK2" s="14" t="s">
        <v>42</v>
      </c>
      <c r="AL2" s="14">
        <v>1</v>
      </c>
      <c r="AM2" s="14">
        <v>30</v>
      </c>
      <c r="AN2" s="14" t="s">
        <v>42</v>
      </c>
      <c r="AO2" s="14">
        <v>12</v>
      </c>
      <c r="AP2" s="14">
        <v>2000</v>
      </c>
      <c r="AQ2" s="14" t="s">
        <v>42</v>
      </c>
      <c r="AR2" s="14" t="s">
        <v>38</v>
      </c>
      <c r="AS2" s="34"/>
      <c r="AT2" s="34"/>
      <c r="AU2" s="14" t="s">
        <v>35</v>
      </c>
      <c r="AV2" s="14" t="s">
        <v>35</v>
      </c>
      <c r="AW2" s="14" t="s">
        <v>38</v>
      </c>
      <c r="AX2" s="29">
        <v>25</v>
      </c>
      <c r="AY2" s="29">
        <v>3500</v>
      </c>
      <c r="AZ2" s="29">
        <v>50</v>
      </c>
      <c r="BA2" s="29" t="s">
        <v>41</v>
      </c>
      <c r="BB2" s="14" t="s">
        <v>42</v>
      </c>
      <c r="BC2" s="14">
        <v>0</v>
      </c>
      <c r="BD2" s="14">
        <v>0</v>
      </c>
      <c r="BE2" s="14" t="s">
        <v>40</v>
      </c>
      <c r="BF2" s="35" t="s">
        <v>41</v>
      </c>
      <c r="BG2" s="36">
        <f>T2/100*(47)*14.08</f>
        <v>29870.125824000002</v>
      </c>
      <c r="BH2" s="36">
        <f>T2/100*(53)*28.16</f>
        <v>67366.666752</v>
      </c>
      <c r="BI2" s="37">
        <f>BG2+BH2</f>
        <v>97236.792576</v>
      </c>
      <c r="BJ2" s="36">
        <v>21291</v>
      </c>
      <c r="BK2" s="37">
        <f>BJ2+BI2</f>
        <v>118527.792576</v>
      </c>
      <c r="BL2" s="38">
        <v>0</v>
      </c>
      <c r="BM2" s="38">
        <f>BL2+BD2</f>
        <v>0</v>
      </c>
      <c r="BN2" s="37"/>
      <c r="BO2" s="17"/>
      <c r="BP2" s="17"/>
      <c r="BQ2" s="17"/>
      <c r="BR2" s="17"/>
    </row>
    <row r="3" spans="1:70" ht="30">
      <c r="A3" s="3" t="s">
        <v>43</v>
      </c>
      <c r="B3" s="2">
        <v>2308</v>
      </c>
      <c r="C3" s="3" t="s">
        <v>33</v>
      </c>
      <c r="D3" s="16" t="s">
        <v>44</v>
      </c>
      <c r="E3" s="16"/>
      <c r="F3" s="11" t="s">
        <v>35</v>
      </c>
      <c r="G3" s="3" t="s">
        <v>45</v>
      </c>
      <c r="H3" s="14" t="s">
        <v>36</v>
      </c>
      <c r="I3" s="31" t="s">
        <v>465</v>
      </c>
      <c r="J3" s="31">
        <v>2500</v>
      </c>
      <c r="K3" s="14" t="s">
        <v>474</v>
      </c>
      <c r="L3" s="18"/>
      <c r="M3" s="18"/>
      <c r="N3" s="18"/>
      <c r="O3" s="18"/>
      <c r="P3" s="18"/>
      <c r="Q3" s="18"/>
      <c r="R3" s="18">
        <v>107000</v>
      </c>
      <c r="S3" s="32"/>
      <c r="T3" s="18">
        <f>R3/100*68</f>
        <v>72760</v>
      </c>
      <c r="U3" s="14" t="s">
        <v>40</v>
      </c>
      <c r="V3" s="18" t="s">
        <v>46</v>
      </c>
      <c r="W3" s="14" t="s">
        <v>37</v>
      </c>
      <c r="X3" s="18" t="s">
        <v>47</v>
      </c>
      <c r="Y3" s="14" t="s">
        <v>37</v>
      </c>
      <c r="Z3" s="33" t="s">
        <v>47</v>
      </c>
      <c r="AA3" s="14" t="s">
        <v>35</v>
      </c>
      <c r="AB3" s="18">
        <v>309000</v>
      </c>
      <c r="AC3" s="14" t="s">
        <v>35</v>
      </c>
      <c r="AD3" s="18">
        <v>13000</v>
      </c>
      <c r="AE3" s="18">
        <v>5</v>
      </c>
      <c r="AF3" s="18">
        <v>150</v>
      </c>
      <c r="AG3" s="14" t="s">
        <v>42</v>
      </c>
      <c r="AH3" s="14">
        <v>3</v>
      </c>
      <c r="AI3" s="20">
        <v>100</v>
      </c>
      <c r="AJ3" s="14">
        <v>3</v>
      </c>
      <c r="AK3" s="14" t="s">
        <v>40</v>
      </c>
      <c r="AL3" s="14">
        <v>5</v>
      </c>
      <c r="AM3" s="14">
        <v>750</v>
      </c>
      <c r="AN3" s="14" t="s">
        <v>42</v>
      </c>
      <c r="AO3" s="14">
        <v>6</v>
      </c>
      <c r="AP3" s="14">
        <v>1200</v>
      </c>
      <c r="AQ3" s="14" t="s">
        <v>42</v>
      </c>
      <c r="AR3" s="14" t="s">
        <v>38</v>
      </c>
      <c r="AS3" s="34"/>
      <c r="AT3" s="34"/>
      <c r="AU3" s="14" t="s">
        <v>35</v>
      </c>
      <c r="AV3" s="14" t="s">
        <v>38</v>
      </c>
      <c r="AW3" s="14" t="s">
        <v>38</v>
      </c>
      <c r="AX3" s="29"/>
      <c r="AY3" s="29"/>
      <c r="AZ3" s="29">
        <v>33</v>
      </c>
      <c r="BA3" s="29">
        <v>3500</v>
      </c>
      <c r="BB3" s="14" t="s">
        <v>42</v>
      </c>
      <c r="BC3" s="14">
        <v>3</v>
      </c>
      <c r="BD3" s="14">
        <v>3</v>
      </c>
      <c r="BE3" s="14" t="s">
        <v>40</v>
      </c>
      <c r="BF3" s="35" t="s">
        <v>48</v>
      </c>
      <c r="BG3" s="36">
        <f>T3/100*(31)*17.99</f>
        <v>405775.244</v>
      </c>
      <c r="BH3" s="36">
        <f>T3/100*(69)*35.98</f>
        <v>1806354.312</v>
      </c>
      <c r="BI3" s="37">
        <f aca="true" t="shared" si="0" ref="BI3:BI65">BG3+BH3</f>
        <v>2212129.556</v>
      </c>
      <c r="BJ3" s="36">
        <v>15139</v>
      </c>
      <c r="BK3" s="37">
        <f>BJ3+BI3</f>
        <v>2227268.556</v>
      </c>
      <c r="BL3" s="38">
        <v>1.265625</v>
      </c>
      <c r="BM3" s="38">
        <f aca="true" t="shared" si="1" ref="BM3:BM66">BL3+BD3</f>
        <v>4.265625</v>
      </c>
      <c r="BN3" s="37">
        <v>25000</v>
      </c>
      <c r="BO3" s="17"/>
      <c r="BP3" s="17"/>
      <c r="BQ3" s="17"/>
      <c r="BR3" s="17"/>
    </row>
    <row r="4" spans="1:70" ht="45">
      <c r="A4" s="12" t="s">
        <v>49</v>
      </c>
      <c r="B4" s="2">
        <v>813</v>
      </c>
      <c r="C4" s="3" t="s">
        <v>33</v>
      </c>
      <c r="D4" s="10" t="s">
        <v>50</v>
      </c>
      <c r="E4" s="10"/>
      <c r="F4" s="11" t="s">
        <v>35</v>
      </c>
      <c r="G4" s="3" t="s">
        <v>36</v>
      </c>
      <c r="H4" s="14" t="s">
        <v>37</v>
      </c>
      <c r="I4" s="31" t="s">
        <v>466</v>
      </c>
      <c r="J4" s="31">
        <v>725</v>
      </c>
      <c r="K4" s="14" t="s">
        <v>471</v>
      </c>
      <c r="L4" s="18">
        <v>6886</v>
      </c>
      <c r="M4" s="18">
        <v>7200</v>
      </c>
      <c r="N4" s="18">
        <v>7095</v>
      </c>
      <c r="O4" s="18">
        <v>7105</v>
      </c>
      <c r="P4" s="18">
        <v>3804</v>
      </c>
      <c r="Q4" s="18">
        <v>4270</v>
      </c>
      <c r="R4" s="18">
        <v>4210</v>
      </c>
      <c r="S4" s="32">
        <f>(R4-Q4)/R4</f>
        <v>-0.014251781472684086</v>
      </c>
      <c r="T4" s="18">
        <f>R4/100*77</f>
        <v>3241.7000000000003</v>
      </c>
      <c r="U4" s="14" t="s">
        <v>40</v>
      </c>
      <c r="V4" s="18">
        <v>3676</v>
      </c>
      <c r="W4" s="14" t="s">
        <v>40</v>
      </c>
      <c r="X4" s="18">
        <v>534</v>
      </c>
      <c r="Y4" s="14" t="s">
        <v>40</v>
      </c>
      <c r="Z4" s="33" t="s">
        <v>41</v>
      </c>
      <c r="AA4" s="14" t="s">
        <v>35</v>
      </c>
      <c r="AB4" s="18" t="s">
        <v>51</v>
      </c>
      <c r="AC4" s="14" t="s">
        <v>35</v>
      </c>
      <c r="AD4" s="18" t="s">
        <v>52</v>
      </c>
      <c r="AE4" s="18">
        <v>2</v>
      </c>
      <c r="AF4" s="18">
        <v>38</v>
      </c>
      <c r="AG4" s="14" t="s">
        <v>40</v>
      </c>
      <c r="AH4" s="14">
        <v>0</v>
      </c>
      <c r="AI4" s="20">
        <v>0</v>
      </c>
      <c r="AJ4" s="14">
        <v>0</v>
      </c>
      <c r="AK4" s="14" t="s">
        <v>40</v>
      </c>
      <c r="AL4" s="14">
        <v>1</v>
      </c>
      <c r="AM4" s="14">
        <v>10</v>
      </c>
      <c r="AN4" s="14" t="s">
        <v>37</v>
      </c>
      <c r="AO4" s="14">
        <v>0</v>
      </c>
      <c r="AP4" s="14">
        <v>0</v>
      </c>
      <c r="AQ4" s="14" t="s">
        <v>37</v>
      </c>
      <c r="AR4" s="14" t="s">
        <v>35</v>
      </c>
      <c r="AS4" s="34">
        <v>2</v>
      </c>
      <c r="AT4" s="34" t="s">
        <v>53</v>
      </c>
      <c r="AU4" s="14" t="s">
        <v>35</v>
      </c>
      <c r="AV4" s="14" t="s">
        <v>38</v>
      </c>
      <c r="AW4" s="14" t="s">
        <v>38</v>
      </c>
      <c r="AX4" s="29">
        <v>70</v>
      </c>
      <c r="AY4" s="29">
        <v>1200</v>
      </c>
      <c r="AZ4" s="29">
        <v>63</v>
      </c>
      <c r="BA4" s="29">
        <v>1500</v>
      </c>
      <c r="BB4" s="14" t="s">
        <v>40</v>
      </c>
      <c r="BC4" s="14">
        <v>0</v>
      </c>
      <c r="BD4" s="14">
        <v>0</v>
      </c>
      <c r="BE4" s="14" t="s">
        <v>40</v>
      </c>
      <c r="BF4" s="35" t="s">
        <v>41</v>
      </c>
      <c r="BG4" s="36">
        <f>T4/100*(47)*12.86</f>
        <v>19593.48314</v>
      </c>
      <c r="BH4" s="36">
        <f>T4/100*(53)*25.73</f>
        <v>44206.738730000005</v>
      </c>
      <c r="BI4" s="37">
        <f t="shared" si="0"/>
        <v>63800.22187000001</v>
      </c>
      <c r="BJ4" s="36">
        <v>7671.76</v>
      </c>
      <c r="BK4" s="37">
        <f>BJ4+BI4</f>
        <v>71471.98187</v>
      </c>
      <c r="BL4" s="38">
        <v>0</v>
      </c>
      <c r="BM4" s="38">
        <f t="shared" si="1"/>
        <v>0</v>
      </c>
      <c r="BN4" s="37">
        <v>10714.285714285714</v>
      </c>
      <c r="BO4" s="17"/>
      <c r="BP4" s="17"/>
      <c r="BQ4" s="17"/>
      <c r="BR4" s="17"/>
    </row>
    <row r="5" spans="1:70" ht="108.75" customHeight="1">
      <c r="A5" s="3" t="s">
        <v>54</v>
      </c>
      <c r="B5" s="2">
        <v>1750</v>
      </c>
      <c r="C5" s="3" t="s">
        <v>33</v>
      </c>
      <c r="D5" s="10" t="s">
        <v>44</v>
      </c>
      <c r="E5" s="10"/>
      <c r="F5" s="11"/>
      <c r="G5" s="3" t="s">
        <v>55</v>
      </c>
      <c r="H5" s="14"/>
      <c r="I5" s="39"/>
      <c r="J5" s="39"/>
      <c r="K5" s="14"/>
      <c r="L5" s="18"/>
      <c r="M5" s="18"/>
      <c r="N5" s="18"/>
      <c r="O5" s="18"/>
      <c r="P5" s="18"/>
      <c r="Q5" s="18"/>
      <c r="R5" s="18"/>
      <c r="S5" s="32"/>
      <c r="T5" s="18"/>
      <c r="U5" s="14"/>
      <c r="V5" s="18"/>
      <c r="W5" s="14"/>
      <c r="X5" s="18"/>
      <c r="Y5" s="14"/>
      <c r="Z5" s="33"/>
      <c r="AA5" s="14" t="s">
        <v>35</v>
      </c>
      <c r="AB5" s="18"/>
      <c r="AC5" s="14"/>
      <c r="AD5" s="18"/>
      <c r="AE5" s="18"/>
      <c r="AF5" s="18"/>
      <c r="AG5" s="14"/>
      <c r="AH5" s="14"/>
      <c r="AI5" s="20"/>
      <c r="AJ5" s="14"/>
      <c r="AK5" s="14"/>
      <c r="AL5" s="14"/>
      <c r="AM5" s="14"/>
      <c r="AN5" s="14"/>
      <c r="AO5" s="14"/>
      <c r="AP5" s="14"/>
      <c r="AQ5" s="14"/>
      <c r="AR5" s="14" t="s">
        <v>35</v>
      </c>
      <c r="AS5" s="34">
        <v>12.45</v>
      </c>
      <c r="AT5" s="34">
        <v>6.45</v>
      </c>
      <c r="AU5" s="14" t="s">
        <v>35</v>
      </c>
      <c r="AV5" s="14"/>
      <c r="AW5" s="14"/>
      <c r="AX5" s="29"/>
      <c r="AY5" s="29"/>
      <c r="AZ5" s="29"/>
      <c r="BA5" s="29"/>
      <c r="BB5" s="14"/>
      <c r="BC5" s="14"/>
      <c r="BD5" s="14"/>
      <c r="BE5" s="14"/>
      <c r="BF5" s="35"/>
      <c r="BG5" s="36"/>
      <c r="BH5" s="36"/>
      <c r="BI5" s="37"/>
      <c r="BJ5" s="36"/>
      <c r="BK5" s="37"/>
      <c r="BL5" s="38"/>
      <c r="BM5" s="38">
        <f t="shared" si="1"/>
        <v>0</v>
      </c>
      <c r="BN5" s="37"/>
      <c r="BO5" s="17"/>
      <c r="BP5" s="17"/>
      <c r="BQ5" s="17"/>
      <c r="BR5" s="17"/>
    </row>
    <row r="6" spans="1:70" ht="30">
      <c r="A6" s="3" t="s">
        <v>56</v>
      </c>
      <c r="B6" s="2">
        <v>658</v>
      </c>
      <c r="C6" s="3" t="s">
        <v>33</v>
      </c>
      <c r="D6" s="3" t="s">
        <v>57</v>
      </c>
      <c r="E6" s="3"/>
      <c r="F6" s="11" t="s">
        <v>35</v>
      </c>
      <c r="G6" s="3" t="s">
        <v>36</v>
      </c>
      <c r="H6" s="14" t="s">
        <v>36</v>
      </c>
      <c r="I6" s="31" t="s">
        <v>465</v>
      </c>
      <c r="J6" s="31">
        <v>360</v>
      </c>
      <c r="K6" s="14" t="s">
        <v>471</v>
      </c>
      <c r="L6" s="18"/>
      <c r="M6" s="18"/>
      <c r="N6" s="18">
        <v>1650</v>
      </c>
      <c r="O6" s="18">
        <v>1320</v>
      </c>
      <c r="P6" s="18"/>
      <c r="Q6" s="18"/>
      <c r="R6" s="18">
        <v>1243</v>
      </c>
      <c r="S6" s="32"/>
      <c r="T6" s="18">
        <f>R6/100*77</f>
        <v>957.11</v>
      </c>
      <c r="U6" s="14" t="s">
        <v>40</v>
      </c>
      <c r="V6" s="18">
        <v>1089</v>
      </c>
      <c r="W6" s="14" t="s">
        <v>40</v>
      </c>
      <c r="X6" s="18">
        <v>154</v>
      </c>
      <c r="Y6" s="14" t="s">
        <v>40</v>
      </c>
      <c r="Z6" s="33" t="s">
        <v>37</v>
      </c>
      <c r="AA6" s="14" t="s">
        <v>35</v>
      </c>
      <c r="AB6" s="18" t="s">
        <v>37</v>
      </c>
      <c r="AC6" s="14" t="s">
        <v>35</v>
      </c>
      <c r="AD6" s="18" t="s">
        <v>37</v>
      </c>
      <c r="AE6" s="18">
        <v>5</v>
      </c>
      <c r="AF6" s="18">
        <v>154</v>
      </c>
      <c r="AG6" s="14" t="s">
        <v>40</v>
      </c>
      <c r="AH6" s="14" t="s">
        <v>37</v>
      </c>
      <c r="AI6" s="20" t="s">
        <v>37</v>
      </c>
      <c r="AJ6" s="14">
        <v>3</v>
      </c>
      <c r="AK6" s="14" t="s">
        <v>40</v>
      </c>
      <c r="AL6" s="14">
        <v>5</v>
      </c>
      <c r="AM6" s="14">
        <v>60</v>
      </c>
      <c r="AN6" s="14" t="s">
        <v>42</v>
      </c>
      <c r="AO6" s="14">
        <v>4</v>
      </c>
      <c r="AP6" s="14">
        <v>240</v>
      </c>
      <c r="AQ6" s="14" t="s">
        <v>42</v>
      </c>
      <c r="AR6" s="14" t="s">
        <v>35</v>
      </c>
      <c r="AS6" s="34">
        <v>2</v>
      </c>
      <c r="AT6" s="34" t="s">
        <v>53</v>
      </c>
      <c r="AU6" s="14" t="s">
        <v>35</v>
      </c>
      <c r="AV6" s="14" t="s">
        <v>38</v>
      </c>
      <c r="AW6" s="14" t="s">
        <v>38</v>
      </c>
      <c r="AX6" s="29"/>
      <c r="AY6" s="29"/>
      <c r="AZ6" s="29">
        <v>60</v>
      </c>
      <c r="BA6" s="29">
        <v>1200</v>
      </c>
      <c r="BB6" s="14" t="s">
        <v>42</v>
      </c>
      <c r="BC6" s="14">
        <v>0</v>
      </c>
      <c r="BD6" s="14">
        <v>0</v>
      </c>
      <c r="BE6" s="14" t="s">
        <v>37</v>
      </c>
      <c r="BF6" s="35" t="s">
        <v>37</v>
      </c>
      <c r="BG6" s="36">
        <f>T6/100*(47)*11.29</f>
        <v>5078.712793</v>
      </c>
      <c r="BH6" s="36">
        <f>T6/100*(53)*22.59</f>
        <v>11459.190896999999</v>
      </c>
      <c r="BI6" s="37">
        <f t="shared" si="0"/>
        <v>16537.90369</v>
      </c>
      <c r="BJ6" s="36">
        <v>6601</v>
      </c>
      <c r="BK6" s="37">
        <f>BJ6+BI6</f>
        <v>23138.90369</v>
      </c>
      <c r="BL6" s="38">
        <v>0</v>
      </c>
      <c r="BM6" s="38">
        <f t="shared" si="1"/>
        <v>0</v>
      </c>
      <c r="BN6" s="37">
        <v>8571.42857142857</v>
      </c>
      <c r="BO6" s="17"/>
      <c r="BP6" s="17"/>
      <c r="BQ6" s="17"/>
      <c r="BR6" s="17"/>
    </row>
    <row r="7" spans="1:70" ht="93" customHeight="1">
      <c r="A7" s="3" t="s">
        <v>59</v>
      </c>
      <c r="B7" s="2">
        <v>1603</v>
      </c>
      <c r="C7" s="3" t="s">
        <v>60</v>
      </c>
      <c r="D7" s="3" t="s">
        <v>61</v>
      </c>
      <c r="E7" s="3"/>
      <c r="F7" s="11"/>
      <c r="G7" s="3" t="s">
        <v>62</v>
      </c>
      <c r="H7" s="14"/>
      <c r="I7" s="39"/>
      <c r="J7" s="39"/>
      <c r="K7" s="14"/>
      <c r="L7" s="18"/>
      <c r="M7" s="18"/>
      <c r="N7" s="18"/>
      <c r="O7" s="18"/>
      <c r="P7" s="18"/>
      <c r="Q7" s="18"/>
      <c r="R7" s="18"/>
      <c r="S7" s="32"/>
      <c r="T7" s="18"/>
      <c r="U7" s="14"/>
      <c r="V7" s="18"/>
      <c r="W7" s="14"/>
      <c r="X7" s="18"/>
      <c r="Y7" s="14"/>
      <c r="Z7" s="33"/>
      <c r="AA7" s="14" t="s">
        <v>35</v>
      </c>
      <c r="AB7" s="18"/>
      <c r="AC7" s="14"/>
      <c r="AD7" s="18"/>
      <c r="AE7" s="18"/>
      <c r="AF7" s="18"/>
      <c r="AG7" s="14"/>
      <c r="AH7" s="14"/>
      <c r="AI7" s="20"/>
      <c r="AJ7" s="14"/>
      <c r="AK7" s="14"/>
      <c r="AL7" s="14"/>
      <c r="AM7" s="14"/>
      <c r="AN7" s="14"/>
      <c r="AO7" s="14"/>
      <c r="AP7" s="14"/>
      <c r="AQ7" s="14"/>
      <c r="AR7" s="14" t="s">
        <v>35</v>
      </c>
      <c r="AS7" s="34">
        <v>18.3</v>
      </c>
      <c r="AT7" s="34">
        <v>11</v>
      </c>
      <c r="AU7" s="14" t="s">
        <v>35</v>
      </c>
      <c r="AV7" s="14"/>
      <c r="AW7" s="14"/>
      <c r="AX7" s="29"/>
      <c r="AY7" s="29"/>
      <c r="AZ7" s="29"/>
      <c r="BA7" s="29"/>
      <c r="BB7" s="14"/>
      <c r="BC7" s="14"/>
      <c r="BD7" s="14"/>
      <c r="BE7" s="14"/>
      <c r="BF7" s="35"/>
      <c r="BG7" s="36"/>
      <c r="BH7" s="36"/>
      <c r="BI7" s="37"/>
      <c r="BJ7" s="36"/>
      <c r="BK7" s="37"/>
      <c r="BL7" s="38"/>
      <c r="BM7" s="38">
        <f t="shared" si="1"/>
        <v>0</v>
      </c>
      <c r="BN7" s="37"/>
      <c r="BO7" s="17"/>
      <c r="BP7" s="17"/>
      <c r="BQ7" s="17"/>
      <c r="BR7" s="17"/>
    </row>
    <row r="8" spans="1:70" ht="75">
      <c r="A8" s="12" t="s">
        <v>63</v>
      </c>
      <c r="B8" s="2">
        <v>810</v>
      </c>
      <c r="C8" s="3" t="s">
        <v>33</v>
      </c>
      <c r="D8" s="10" t="s">
        <v>50</v>
      </c>
      <c r="E8" s="10"/>
      <c r="F8" s="11" t="s">
        <v>35</v>
      </c>
      <c r="G8" s="3" t="s">
        <v>36</v>
      </c>
      <c r="H8" s="14" t="s">
        <v>36</v>
      </c>
      <c r="I8" s="31" t="s">
        <v>466</v>
      </c>
      <c r="J8" s="31">
        <v>650</v>
      </c>
      <c r="K8" s="14" t="s">
        <v>471</v>
      </c>
      <c r="L8" s="18">
        <v>3073</v>
      </c>
      <c r="M8" s="18">
        <v>2274</v>
      </c>
      <c r="N8" s="18">
        <v>1974</v>
      </c>
      <c r="O8" s="18">
        <v>94</v>
      </c>
      <c r="P8" s="18">
        <v>1989</v>
      </c>
      <c r="Q8" s="18">
        <v>2628</v>
      </c>
      <c r="R8" s="18">
        <v>2303</v>
      </c>
      <c r="S8" s="32">
        <f>(R8-Q8)/R8</f>
        <v>-0.1411202778983934</v>
      </c>
      <c r="T8" s="18">
        <f>R8/100*77</f>
        <v>1773.3100000000002</v>
      </c>
      <c r="U8" s="14" t="s">
        <v>40</v>
      </c>
      <c r="V8" s="18">
        <v>1858</v>
      </c>
      <c r="W8" s="14" t="s">
        <v>40</v>
      </c>
      <c r="X8" s="18">
        <v>445</v>
      </c>
      <c r="Y8" s="14" t="s">
        <v>40</v>
      </c>
      <c r="Z8" s="33" t="s">
        <v>46</v>
      </c>
      <c r="AA8" s="14" t="s">
        <v>35</v>
      </c>
      <c r="AB8" s="18">
        <v>0</v>
      </c>
      <c r="AC8" s="14" t="s">
        <v>38</v>
      </c>
      <c r="AD8" s="18" t="s">
        <v>46</v>
      </c>
      <c r="AE8" s="18">
        <v>8</v>
      </c>
      <c r="AF8" s="18">
        <v>200</v>
      </c>
      <c r="AG8" s="14" t="s">
        <v>40</v>
      </c>
      <c r="AH8" s="14">
        <v>4</v>
      </c>
      <c r="AI8" s="20">
        <v>85</v>
      </c>
      <c r="AJ8" s="14">
        <v>3</v>
      </c>
      <c r="AK8" s="14" t="s">
        <v>40</v>
      </c>
      <c r="AL8" s="14">
        <v>1</v>
      </c>
      <c r="AM8" s="14">
        <v>15</v>
      </c>
      <c r="AN8" s="14" t="s">
        <v>42</v>
      </c>
      <c r="AO8" s="14">
        <v>0</v>
      </c>
      <c r="AP8" s="14">
        <v>0</v>
      </c>
      <c r="AQ8" s="14" t="s">
        <v>40</v>
      </c>
      <c r="AR8" s="14" t="s">
        <v>38</v>
      </c>
      <c r="AS8" s="34"/>
      <c r="AT8" s="34"/>
      <c r="AU8" s="14" t="s">
        <v>35</v>
      </c>
      <c r="AV8" s="14" t="s">
        <v>38</v>
      </c>
      <c r="AW8" s="14" t="s">
        <v>38</v>
      </c>
      <c r="AX8" s="29">
        <v>70</v>
      </c>
      <c r="AY8" s="29">
        <v>2600</v>
      </c>
      <c r="AZ8" s="29">
        <v>63</v>
      </c>
      <c r="BA8" s="29">
        <v>750</v>
      </c>
      <c r="BB8" s="14" t="s">
        <v>42</v>
      </c>
      <c r="BC8" s="14">
        <v>0</v>
      </c>
      <c r="BD8" s="14">
        <v>0</v>
      </c>
      <c r="BE8" s="14" t="s">
        <v>40</v>
      </c>
      <c r="BF8" s="35" t="s">
        <v>64</v>
      </c>
      <c r="BG8" s="36">
        <f>T8/100*(47)*12.86</f>
        <v>10718.240302</v>
      </c>
      <c r="BH8" s="36">
        <f>T8/100*(53)*25.73</f>
        <v>24182.451139</v>
      </c>
      <c r="BI8" s="37">
        <f t="shared" si="0"/>
        <v>34900.691441</v>
      </c>
      <c r="BJ8" s="36">
        <v>19677.58</v>
      </c>
      <c r="BK8" s="37">
        <f>BJ8+BI8</f>
        <v>54578.271441000004</v>
      </c>
      <c r="BL8" s="38">
        <v>0</v>
      </c>
      <c r="BM8" s="38">
        <f t="shared" si="1"/>
        <v>0</v>
      </c>
      <c r="BN8" s="37">
        <v>5357.142857142857</v>
      </c>
      <c r="BO8" s="17"/>
      <c r="BP8" s="17"/>
      <c r="BQ8" s="17"/>
      <c r="BR8" s="17"/>
    </row>
    <row r="9" spans="1:70" ht="78" customHeight="1">
      <c r="A9" s="3" t="s">
        <v>65</v>
      </c>
      <c r="B9" s="2">
        <v>654</v>
      </c>
      <c r="C9" s="3" t="s">
        <v>33</v>
      </c>
      <c r="D9" s="3" t="s">
        <v>61</v>
      </c>
      <c r="E9" s="3" t="s">
        <v>66</v>
      </c>
      <c r="F9" s="11" t="s">
        <v>35</v>
      </c>
      <c r="G9" s="3" t="s">
        <v>67</v>
      </c>
      <c r="H9" s="8" t="s">
        <v>67</v>
      </c>
      <c r="I9" s="40" t="s">
        <v>465</v>
      </c>
      <c r="J9" s="40" t="s">
        <v>443</v>
      </c>
      <c r="K9" s="8" t="s">
        <v>472</v>
      </c>
      <c r="L9" s="18"/>
      <c r="M9" s="18"/>
      <c r="N9" s="18"/>
      <c r="O9" s="18"/>
      <c r="P9" s="18">
        <v>10040</v>
      </c>
      <c r="Q9" s="18">
        <v>3915</v>
      </c>
      <c r="R9" s="18">
        <v>16151</v>
      </c>
      <c r="S9" s="32">
        <f>(R9-Q9)/R9</f>
        <v>0.75760014859761</v>
      </c>
      <c r="T9" s="18">
        <f>R9/100*73</f>
        <v>11790.23</v>
      </c>
      <c r="U9" s="8" t="s">
        <v>37</v>
      </c>
      <c r="V9" s="18" t="s">
        <v>46</v>
      </c>
      <c r="W9" s="8" t="s">
        <v>37</v>
      </c>
      <c r="X9" s="18" t="s">
        <v>46</v>
      </c>
      <c r="Y9" s="8" t="s">
        <v>37</v>
      </c>
      <c r="Z9" s="41" t="s">
        <v>38</v>
      </c>
      <c r="AA9" s="8" t="s">
        <v>35</v>
      </c>
      <c r="AB9" s="18" t="s">
        <v>37</v>
      </c>
      <c r="AC9" s="8" t="s">
        <v>35</v>
      </c>
      <c r="AD9" s="18" t="s">
        <v>37</v>
      </c>
      <c r="AE9" s="18">
        <v>2</v>
      </c>
      <c r="AF9" s="18">
        <v>56</v>
      </c>
      <c r="AG9" s="8" t="s">
        <v>40</v>
      </c>
      <c r="AH9" s="8" t="s">
        <v>37</v>
      </c>
      <c r="AI9" s="42" t="s">
        <v>37</v>
      </c>
      <c r="AJ9" s="8" t="s">
        <v>37</v>
      </c>
      <c r="AK9" s="8" t="s">
        <v>37</v>
      </c>
      <c r="AL9" s="8" t="s">
        <v>37</v>
      </c>
      <c r="AM9" s="8" t="s">
        <v>37</v>
      </c>
      <c r="AN9" s="8" t="s">
        <v>37</v>
      </c>
      <c r="AO9" s="8" t="s">
        <v>37</v>
      </c>
      <c r="AP9" s="8" t="s">
        <v>37</v>
      </c>
      <c r="AQ9" s="8" t="s">
        <v>37</v>
      </c>
      <c r="AR9" s="8" t="s">
        <v>38</v>
      </c>
      <c r="AS9" s="34"/>
      <c r="AT9" s="34"/>
      <c r="AU9" s="8" t="s">
        <v>35</v>
      </c>
      <c r="AV9" s="8" t="s">
        <v>35</v>
      </c>
      <c r="AW9" s="8" t="s">
        <v>38</v>
      </c>
      <c r="AX9" s="29"/>
      <c r="AY9" s="29"/>
      <c r="AZ9" s="29" t="s">
        <v>444</v>
      </c>
      <c r="BA9" s="29" t="s">
        <v>444</v>
      </c>
      <c r="BB9" s="8" t="s">
        <v>37</v>
      </c>
      <c r="BC9" s="8" t="s">
        <v>444</v>
      </c>
      <c r="BD9" s="8" t="s">
        <v>444</v>
      </c>
      <c r="BE9" s="8" t="s">
        <v>37</v>
      </c>
      <c r="BF9" s="43" t="s">
        <v>37</v>
      </c>
      <c r="BG9" s="36">
        <f>T9/100*(44)*12.91</f>
        <v>66973.222492</v>
      </c>
      <c r="BH9" s="36">
        <f>T9/100*(56)*25.82</f>
        <v>170477.293616</v>
      </c>
      <c r="BI9" s="37">
        <f t="shared" si="0"/>
        <v>237450.516108</v>
      </c>
      <c r="BJ9" s="36"/>
      <c r="BK9" s="37">
        <f>BJ9+BI9</f>
        <v>237450.516108</v>
      </c>
      <c r="BL9" s="44"/>
      <c r="BM9" s="38"/>
      <c r="BN9" s="37"/>
      <c r="BO9" s="17"/>
      <c r="BP9" s="17"/>
      <c r="BQ9" s="17"/>
      <c r="BR9" s="17"/>
    </row>
    <row r="10" spans="1:70" ht="45">
      <c r="A10" s="12" t="s">
        <v>68</v>
      </c>
      <c r="B10" s="2">
        <v>2222</v>
      </c>
      <c r="C10" s="3" t="s">
        <v>33</v>
      </c>
      <c r="D10" s="10" t="s">
        <v>50</v>
      </c>
      <c r="E10" s="10"/>
      <c r="F10" s="11" t="s">
        <v>35</v>
      </c>
      <c r="G10" s="3" t="s">
        <v>36</v>
      </c>
      <c r="H10" s="14" t="s">
        <v>36</v>
      </c>
      <c r="I10" s="31" t="s">
        <v>466</v>
      </c>
      <c r="J10" s="31">
        <v>208</v>
      </c>
      <c r="K10" s="14" t="s">
        <v>471</v>
      </c>
      <c r="L10" s="18">
        <v>2011</v>
      </c>
      <c r="M10" s="18">
        <v>4088</v>
      </c>
      <c r="N10" s="18">
        <v>1956</v>
      </c>
      <c r="O10" s="18">
        <v>1800</v>
      </c>
      <c r="P10" s="18"/>
      <c r="Q10" s="18"/>
      <c r="R10" s="18">
        <v>3373</v>
      </c>
      <c r="S10" s="32"/>
      <c r="T10" s="18">
        <f>R10/100*77</f>
        <v>2597.2099999999996</v>
      </c>
      <c r="U10" s="14" t="s">
        <v>40</v>
      </c>
      <c r="V10" s="18">
        <v>2957</v>
      </c>
      <c r="W10" s="14" t="s">
        <v>40</v>
      </c>
      <c r="X10" s="18">
        <v>416</v>
      </c>
      <c r="Y10" s="14" t="s">
        <v>40</v>
      </c>
      <c r="Z10" s="33" t="s">
        <v>69</v>
      </c>
      <c r="AA10" s="14" t="s">
        <v>35</v>
      </c>
      <c r="AB10" s="18">
        <v>31408</v>
      </c>
      <c r="AC10" s="14" t="s">
        <v>35</v>
      </c>
      <c r="AD10" s="18">
        <v>3154</v>
      </c>
      <c r="AE10" s="18">
        <v>4</v>
      </c>
      <c r="AF10" s="18">
        <v>48</v>
      </c>
      <c r="AG10" s="14" t="s">
        <v>40</v>
      </c>
      <c r="AH10" s="14">
        <v>0</v>
      </c>
      <c r="AI10" s="20">
        <v>0</v>
      </c>
      <c r="AJ10" s="14">
        <v>1</v>
      </c>
      <c r="AK10" s="14" t="s">
        <v>40</v>
      </c>
      <c r="AL10" s="14">
        <v>19</v>
      </c>
      <c r="AM10" s="14">
        <v>552</v>
      </c>
      <c r="AN10" s="14" t="s">
        <v>40</v>
      </c>
      <c r="AO10" s="14">
        <v>7</v>
      </c>
      <c r="AP10" s="14">
        <v>105</v>
      </c>
      <c r="AQ10" s="14" t="s">
        <v>42</v>
      </c>
      <c r="AR10" s="14" t="s">
        <v>35</v>
      </c>
      <c r="AS10" s="34">
        <v>5</v>
      </c>
      <c r="AT10" s="34" t="s">
        <v>53</v>
      </c>
      <c r="AU10" s="14" t="s">
        <v>35</v>
      </c>
      <c r="AV10" s="14" t="s">
        <v>35</v>
      </c>
      <c r="AW10" s="14" t="s">
        <v>38</v>
      </c>
      <c r="AX10" s="29"/>
      <c r="AY10" s="29"/>
      <c r="AZ10" s="29">
        <v>29</v>
      </c>
      <c r="BA10" s="29">
        <v>6960</v>
      </c>
      <c r="BB10" s="14" t="s">
        <v>42</v>
      </c>
      <c r="BC10" s="14">
        <v>0</v>
      </c>
      <c r="BD10" s="14">
        <v>0</v>
      </c>
      <c r="BE10" s="14" t="s">
        <v>40</v>
      </c>
      <c r="BF10" s="35" t="s">
        <v>37</v>
      </c>
      <c r="BG10" s="36">
        <f>T10/100*(47)*12.86</f>
        <v>15698.056681999999</v>
      </c>
      <c r="BH10" s="36">
        <f>T10/100*(53)*25.73</f>
        <v>35417.893049</v>
      </c>
      <c r="BI10" s="37">
        <f t="shared" si="0"/>
        <v>51115.949731</v>
      </c>
      <c r="BJ10" s="36">
        <v>19823.38</v>
      </c>
      <c r="BK10" s="37">
        <f>BJ10+BI10</f>
        <v>70939.329731</v>
      </c>
      <c r="BL10" s="38">
        <v>0</v>
      </c>
      <c r="BM10" s="38">
        <f t="shared" si="1"/>
        <v>0</v>
      </c>
      <c r="BN10" s="37">
        <v>49714.28571428572</v>
      </c>
      <c r="BO10" s="17"/>
      <c r="BP10" s="17"/>
      <c r="BQ10" s="17"/>
      <c r="BR10" s="17"/>
    </row>
    <row r="11" spans="1:70" ht="46.5" customHeight="1">
      <c r="A11" s="3" t="s">
        <v>70</v>
      </c>
      <c r="B11" s="2">
        <v>1047</v>
      </c>
      <c r="C11" s="3" t="s">
        <v>33</v>
      </c>
      <c r="D11" s="10" t="s">
        <v>34</v>
      </c>
      <c r="E11" s="10"/>
      <c r="F11" s="11"/>
      <c r="G11" s="3" t="s">
        <v>36</v>
      </c>
      <c r="H11" s="14"/>
      <c r="I11" s="39"/>
      <c r="J11" s="39"/>
      <c r="K11" s="14"/>
      <c r="L11" s="18"/>
      <c r="M11" s="18"/>
      <c r="N11" s="18"/>
      <c r="O11" s="18"/>
      <c r="P11" s="18"/>
      <c r="Q11" s="18"/>
      <c r="R11" s="18"/>
      <c r="S11" s="32"/>
      <c r="T11" s="18"/>
      <c r="U11" s="14"/>
      <c r="V11" s="18"/>
      <c r="W11" s="14"/>
      <c r="X11" s="18"/>
      <c r="Y11" s="14"/>
      <c r="Z11" s="33"/>
      <c r="AA11" s="14" t="s">
        <v>35</v>
      </c>
      <c r="AB11" s="18"/>
      <c r="AC11" s="14"/>
      <c r="AD11" s="18"/>
      <c r="AE11" s="18"/>
      <c r="AF11" s="18"/>
      <c r="AG11" s="14"/>
      <c r="AH11" s="14"/>
      <c r="AI11" s="20"/>
      <c r="AJ11" s="14"/>
      <c r="AK11" s="14"/>
      <c r="AL11" s="14"/>
      <c r="AM11" s="14"/>
      <c r="AN11" s="14"/>
      <c r="AO11" s="14"/>
      <c r="AP11" s="14"/>
      <c r="AQ11" s="14"/>
      <c r="AR11" s="14" t="s">
        <v>35</v>
      </c>
      <c r="AS11" s="34">
        <v>2</v>
      </c>
      <c r="AT11" s="34" t="s">
        <v>53</v>
      </c>
      <c r="AU11" s="14" t="s">
        <v>35</v>
      </c>
      <c r="AV11" s="14"/>
      <c r="AW11" s="14"/>
      <c r="AX11" s="29"/>
      <c r="AY11" s="29"/>
      <c r="AZ11" s="29"/>
      <c r="BA11" s="29"/>
      <c r="BB11" s="14"/>
      <c r="BC11" s="14"/>
      <c r="BD11" s="14"/>
      <c r="BE11" s="14"/>
      <c r="BF11" s="35"/>
      <c r="BG11" s="36"/>
      <c r="BH11" s="36"/>
      <c r="BI11" s="37"/>
      <c r="BJ11" s="36"/>
      <c r="BK11" s="37"/>
      <c r="BL11" s="38"/>
      <c r="BM11" s="38">
        <f t="shared" si="1"/>
        <v>0</v>
      </c>
      <c r="BN11" s="37"/>
      <c r="BO11" s="17"/>
      <c r="BP11" s="17"/>
      <c r="BQ11" s="17"/>
      <c r="BR11" s="17"/>
    </row>
    <row r="12" spans="1:70" ht="75">
      <c r="A12" s="3" t="s">
        <v>71</v>
      </c>
      <c r="B12" s="2">
        <v>859</v>
      </c>
      <c r="C12" s="3" t="s">
        <v>33</v>
      </c>
      <c r="D12" s="3" t="s">
        <v>57</v>
      </c>
      <c r="E12" s="3"/>
      <c r="F12" s="11" t="s">
        <v>35</v>
      </c>
      <c r="G12" s="3" t="s">
        <v>36</v>
      </c>
      <c r="H12" s="14" t="s">
        <v>36</v>
      </c>
      <c r="I12" s="31" t="s">
        <v>465</v>
      </c>
      <c r="J12" s="31">
        <v>2040</v>
      </c>
      <c r="K12" s="14" t="s">
        <v>471</v>
      </c>
      <c r="L12" s="18"/>
      <c r="M12" s="18"/>
      <c r="N12" s="18"/>
      <c r="O12" s="18"/>
      <c r="P12" s="18">
        <v>9206</v>
      </c>
      <c r="Q12" s="18">
        <v>10157</v>
      </c>
      <c r="R12" s="18">
        <v>8654</v>
      </c>
      <c r="S12" s="32">
        <f>(R12-Q12)/R12</f>
        <v>-0.17367691241044603</v>
      </c>
      <c r="T12" s="18">
        <f>R12/100*77</f>
        <v>6663.580000000001</v>
      </c>
      <c r="U12" s="14" t="s">
        <v>42</v>
      </c>
      <c r="V12" s="18" t="s">
        <v>72</v>
      </c>
      <c r="W12" s="14" t="s">
        <v>37</v>
      </c>
      <c r="X12" s="18" t="s">
        <v>72</v>
      </c>
      <c r="Y12" s="14" t="s">
        <v>37</v>
      </c>
      <c r="Z12" s="33" t="s">
        <v>73</v>
      </c>
      <c r="AA12" s="14" t="s">
        <v>35</v>
      </c>
      <c r="AB12" s="18">
        <v>55000</v>
      </c>
      <c r="AC12" s="14" t="s">
        <v>35</v>
      </c>
      <c r="AD12" s="18">
        <v>1489</v>
      </c>
      <c r="AE12" s="18">
        <v>10</v>
      </c>
      <c r="AF12" s="18">
        <v>250</v>
      </c>
      <c r="AG12" s="14" t="s">
        <v>42</v>
      </c>
      <c r="AH12" s="14">
        <v>6</v>
      </c>
      <c r="AI12" s="20">
        <v>90</v>
      </c>
      <c r="AJ12" s="14">
        <v>5</v>
      </c>
      <c r="AK12" s="14" t="s">
        <v>40</v>
      </c>
      <c r="AL12" s="14">
        <v>10</v>
      </c>
      <c r="AM12" s="14">
        <v>250</v>
      </c>
      <c r="AN12" s="14" t="s">
        <v>42</v>
      </c>
      <c r="AO12" s="14">
        <v>15</v>
      </c>
      <c r="AP12" s="14">
        <v>180</v>
      </c>
      <c r="AQ12" s="14" t="s">
        <v>42</v>
      </c>
      <c r="AR12" s="14" t="s">
        <v>38</v>
      </c>
      <c r="AS12" s="34"/>
      <c r="AT12" s="34"/>
      <c r="AU12" s="14" t="s">
        <v>35</v>
      </c>
      <c r="AV12" s="14" t="s">
        <v>38</v>
      </c>
      <c r="AW12" s="14" t="s">
        <v>38</v>
      </c>
      <c r="AX12" s="29">
        <v>30</v>
      </c>
      <c r="AY12" s="29">
        <v>4000</v>
      </c>
      <c r="AZ12" s="29">
        <v>15</v>
      </c>
      <c r="BA12" s="29">
        <v>1800</v>
      </c>
      <c r="BB12" s="14" t="s">
        <v>42</v>
      </c>
      <c r="BC12" s="14">
        <v>3</v>
      </c>
      <c r="BD12" s="14">
        <v>2.5</v>
      </c>
      <c r="BE12" s="14" t="s">
        <v>40</v>
      </c>
      <c r="BF12" s="35" t="s">
        <v>74</v>
      </c>
      <c r="BG12" s="36">
        <f>T12/100*(47)*11.29</f>
        <v>35358.954554</v>
      </c>
      <c r="BH12" s="36">
        <f>T12/100*(53)*22.59</f>
        <v>79781.044266</v>
      </c>
      <c r="BI12" s="37">
        <f t="shared" si="0"/>
        <v>115139.99882000001</v>
      </c>
      <c r="BJ12" s="36">
        <v>78431</v>
      </c>
      <c r="BK12" s="37">
        <f>BJ12+BI12</f>
        <v>193570.99882</v>
      </c>
      <c r="BL12" s="38">
        <v>1.3331250000000001</v>
      </c>
      <c r="BM12" s="38">
        <f t="shared" si="1"/>
        <v>3.833125</v>
      </c>
      <c r="BN12" s="37">
        <v>12857.142857142859</v>
      </c>
      <c r="BO12" s="17"/>
      <c r="BP12" s="17"/>
      <c r="BQ12" s="17"/>
      <c r="BR12" s="17"/>
    </row>
    <row r="13" spans="1:70" ht="46.5" customHeight="1">
      <c r="A13" s="3" t="s">
        <v>75</v>
      </c>
      <c r="B13" s="2">
        <v>1749</v>
      </c>
      <c r="C13" s="3" t="s">
        <v>33</v>
      </c>
      <c r="D13" s="3" t="s">
        <v>34</v>
      </c>
      <c r="E13" s="3"/>
      <c r="F13" s="11"/>
      <c r="G13" s="3" t="s">
        <v>55</v>
      </c>
      <c r="H13" s="14"/>
      <c r="I13" s="39"/>
      <c r="J13" s="39"/>
      <c r="K13" s="14"/>
      <c r="L13" s="18"/>
      <c r="M13" s="18"/>
      <c r="N13" s="18"/>
      <c r="O13" s="18"/>
      <c r="P13" s="18"/>
      <c r="Q13" s="18"/>
      <c r="R13" s="18"/>
      <c r="S13" s="32"/>
      <c r="T13" s="18"/>
      <c r="U13" s="14"/>
      <c r="V13" s="18"/>
      <c r="W13" s="14"/>
      <c r="X13" s="18"/>
      <c r="Y13" s="14"/>
      <c r="Z13" s="33"/>
      <c r="AA13" s="14" t="s">
        <v>35</v>
      </c>
      <c r="AB13" s="18"/>
      <c r="AC13" s="14"/>
      <c r="AD13" s="18"/>
      <c r="AE13" s="18"/>
      <c r="AF13" s="18"/>
      <c r="AG13" s="14"/>
      <c r="AH13" s="14"/>
      <c r="AI13" s="20"/>
      <c r="AJ13" s="14"/>
      <c r="AK13" s="14"/>
      <c r="AL13" s="14"/>
      <c r="AM13" s="14"/>
      <c r="AN13" s="14"/>
      <c r="AO13" s="14"/>
      <c r="AP13" s="14"/>
      <c r="AQ13" s="14"/>
      <c r="AR13" s="14" t="s">
        <v>35</v>
      </c>
      <c r="AS13" s="34">
        <v>12.65</v>
      </c>
      <c r="AT13" s="34">
        <v>6.8</v>
      </c>
      <c r="AU13" s="14" t="s">
        <v>35</v>
      </c>
      <c r="AV13" s="14"/>
      <c r="AW13" s="14"/>
      <c r="AX13" s="29"/>
      <c r="AY13" s="29"/>
      <c r="AZ13" s="29"/>
      <c r="BA13" s="29"/>
      <c r="BB13" s="14"/>
      <c r="BC13" s="14"/>
      <c r="BD13" s="14"/>
      <c r="BE13" s="14"/>
      <c r="BF13" s="35"/>
      <c r="BG13" s="36"/>
      <c r="BH13" s="36"/>
      <c r="BI13" s="37"/>
      <c r="BJ13" s="36"/>
      <c r="BK13" s="37"/>
      <c r="BL13" s="38"/>
      <c r="BM13" s="38">
        <f t="shared" si="1"/>
        <v>0</v>
      </c>
      <c r="BN13" s="37"/>
      <c r="BO13" s="17"/>
      <c r="BP13" s="17"/>
      <c r="BQ13" s="17"/>
      <c r="BR13" s="17"/>
    </row>
    <row r="14" spans="1:70" ht="78" customHeight="1">
      <c r="A14" s="3" t="s">
        <v>76</v>
      </c>
      <c r="B14" s="2">
        <v>690</v>
      </c>
      <c r="C14" s="3" t="s">
        <v>33</v>
      </c>
      <c r="D14" s="3" t="s">
        <v>61</v>
      </c>
      <c r="E14" s="3"/>
      <c r="F14" s="11"/>
      <c r="G14" s="3" t="s">
        <v>67</v>
      </c>
      <c r="H14" s="14"/>
      <c r="I14" s="39"/>
      <c r="J14" s="39"/>
      <c r="K14" s="14"/>
      <c r="L14" s="18"/>
      <c r="M14" s="18"/>
      <c r="N14" s="18"/>
      <c r="O14" s="18"/>
      <c r="P14" s="18"/>
      <c r="Q14" s="18"/>
      <c r="R14" s="18"/>
      <c r="S14" s="32"/>
      <c r="T14" s="18"/>
      <c r="U14" s="14"/>
      <c r="V14" s="18"/>
      <c r="W14" s="14"/>
      <c r="X14" s="18"/>
      <c r="Y14" s="14"/>
      <c r="Z14" s="33"/>
      <c r="AA14" s="14" t="s">
        <v>35</v>
      </c>
      <c r="AB14" s="18"/>
      <c r="AC14" s="14"/>
      <c r="AD14" s="18"/>
      <c r="AE14" s="18"/>
      <c r="AF14" s="18"/>
      <c r="AG14" s="14"/>
      <c r="AH14" s="14"/>
      <c r="AI14" s="20"/>
      <c r="AJ14" s="14"/>
      <c r="AK14" s="14"/>
      <c r="AL14" s="14"/>
      <c r="AM14" s="14"/>
      <c r="AN14" s="14"/>
      <c r="AO14" s="14"/>
      <c r="AP14" s="14"/>
      <c r="AQ14" s="14"/>
      <c r="AR14" s="14" t="s">
        <v>35</v>
      </c>
      <c r="AS14" s="34">
        <v>4</v>
      </c>
      <c r="AT14" s="34">
        <v>2</v>
      </c>
      <c r="AU14" s="14" t="s">
        <v>35</v>
      </c>
      <c r="AV14" s="14"/>
      <c r="AW14" s="14"/>
      <c r="AX14" s="29"/>
      <c r="AY14" s="29"/>
      <c r="AZ14" s="29"/>
      <c r="BA14" s="29"/>
      <c r="BB14" s="14"/>
      <c r="BC14" s="14"/>
      <c r="BD14" s="14"/>
      <c r="BE14" s="14"/>
      <c r="BF14" s="35"/>
      <c r="BG14" s="36"/>
      <c r="BH14" s="36"/>
      <c r="BI14" s="37"/>
      <c r="BJ14" s="36"/>
      <c r="BK14" s="37"/>
      <c r="BL14" s="38"/>
      <c r="BM14" s="38">
        <f t="shared" si="1"/>
        <v>0</v>
      </c>
      <c r="BN14" s="37"/>
      <c r="BO14" s="17"/>
      <c r="BP14" s="17"/>
      <c r="BQ14" s="17"/>
      <c r="BR14" s="17"/>
    </row>
    <row r="15" spans="1:70" ht="62.25" customHeight="1">
      <c r="A15" s="12" t="s">
        <v>77</v>
      </c>
      <c r="B15" s="2">
        <v>860</v>
      </c>
      <c r="C15" s="3" t="s">
        <v>33</v>
      </c>
      <c r="D15" s="3" t="s">
        <v>61</v>
      </c>
      <c r="E15" s="3"/>
      <c r="F15" s="11"/>
      <c r="G15" s="3" t="s">
        <v>36</v>
      </c>
      <c r="H15" s="14"/>
      <c r="I15" s="39"/>
      <c r="J15" s="39"/>
      <c r="K15" s="14"/>
      <c r="L15" s="18"/>
      <c r="M15" s="18"/>
      <c r="N15" s="18"/>
      <c r="O15" s="18"/>
      <c r="P15" s="18"/>
      <c r="Q15" s="18"/>
      <c r="R15" s="18"/>
      <c r="S15" s="32"/>
      <c r="T15" s="18"/>
      <c r="U15" s="14"/>
      <c r="V15" s="18"/>
      <c r="W15" s="14"/>
      <c r="X15" s="18"/>
      <c r="Y15" s="14"/>
      <c r="Z15" s="33"/>
      <c r="AA15" s="14" t="s">
        <v>35</v>
      </c>
      <c r="AB15" s="18"/>
      <c r="AC15" s="14"/>
      <c r="AD15" s="18"/>
      <c r="AE15" s="18"/>
      <c r="AF15" s="18"/>
      <c r="AG15" s="14"/>
      <c r="AH15" s="14"/>
      <c r="AI15" s="20"/>
      <c r="AJ15" s="14"/>
      <c r="AK15" s="14"/>
      <c r="AL15" s="14"/>
      <c r="AM15" s="14"/>
      <c r="AN15" s="14"/>
      <c r="AO15" s="14"/>
      <c r="AP15" s="14"/>
      <c r="AQ15" s="14"/>
      <c r="AR15" s="14" t="s">
        <v>38</v>
      </c>
      <c r="AS15" s="34"/>
      <c r="AT15" s="34"/>
      <c r="AU15" s="14" t="s">
        <v>38</v>
      </c>
      <c r="AV15" s="14"/>
      <c r="AW15" s="14"/>
      <c r="AX15" s="29"/>
      <c r="AY15" s="29"/>
      <c r="AZ15" s="29"/>
      <c r="BA15" s="29"/>
      <c r="BB15" s="14"/>
      <c r="BC15" s="14"/>
      <c r="BD15" s="14"/>
      <c r="BE15" s="14"/>
      <c r="BF15" s="35"/>
      <c r="BG15" s="36"/>
      <c r="BH15" s="36"/>
      <c r="BI15" s="37"/>
      <c r="BJ15" s="36"/>
      <c r="BK15" s="37"/>
      <c r="BL15" s="38"/>
      <c r="BM15" s="38">
        <f t="shared" si="1"/>
        <v>0</v>
      </c>
      <c r="BN15" s="37"/>
      <c r="BO15" s="17"/>
      <c r="BP15" s="17"/>
      <c r="BQ15" s="17"/>
      <c r="BR15" s="17"/>
    </row>
    <row r="16" spans="1:70" ht="45">
      <c r="A16" s="12" t="s">
        <v>78</v>
      </c>
      <c r="B16" s="2">
        <v>957</v>
      </c>
      <c r="C16" s="3" t="s">
        <v>33</v>
      </c>
      <c r="D16" s="3" t="s">
        <v>61</v>
      </c>
      <c r="E16" s="3"/>
      <c r="F16" s="11" t="s">
        <v>35</v>
      </c>
      <c r="G16" s="3" t="s">
        <v>36</v>
      </c>
      <c r="H16" s="14" t="s">
        <v>36</v>
      </c>
      <c r="I16" s="31" t="s">
        <v>466</v>
      </c>
      <c r="J16" s="31">
        <v>312</v>
      </c>
      <c r="K16" s="14" t="s">
        <v>471</v>
      </c>
      <c r="L16" s="18"/>
      <c r="M16" s="18"/>
      <c r="N16" s="18"/>
      <c r="O16" s="18"/>
      <c r="P16" s="18"/>
      <c r="Q16" s="18"/>
      <c r="R16" s="18">
        <v>1500</v>
      </c>
      <c r="S16" s="32"/>
      <c r="T16" s="18">
        <f>R16/100*77</f>
        <v>1155</v>
      </c>
      <c r="U16" s="14" t="s">
        <v>42</v>
      </c>
      <c r="V16" s="18">
        <v>1200</v>
      </c>
      <c r="W16" s="14" t="s">
        <v>42</v>
      </c>
      <c r="X16" s="18">
        <v>300</v>
      </c>
      <c r="Y16" s="14" t="s">
        <v>42</v>
      </c>
      <c r="Z16" s="33" t="s">
        <v>37</v>
      </c>
      <c r="AA16" s="14" t="s">
        <v>35</v>
      </c>
      <c r="AB16" s="18" t="s">
        <v>46</v>
      </c>
      <c r="AC16" s="14" t="s">
        <v>35</v>
      </c>
      <c r="AD16" s="18" t="s">
        <v>37</v>
      </c>
      <c r="AE16" s="18" t="s">
        <v>79</v>
      </c>
      <c r="AF16" s="18" t="s">
        <v>37</v>
      </c>
      <c r="AG16" s="14" t="s">
        <v>40</v>
      </c>
      <c r="AH16" s="14">
        <v>7</v>
      </c>
      <c r="AI16" s="20">
        <v>200</v>
      </c>
      <c r="AJ16" s="14">
        <v>3</v>
      </c>
      <c r="AK16" s="14" t="s">
        <v>40</v>
      </c>
      <c r="AL16" s="14">
        <v>5</v>
      </c>
      <c r="AM16" s="14">
        <v>85</v>
      </c>
      <c r="AN16" s="14" t="s">
        <v>42</v>
      </c>
      <c r="AO16" s="14">
        <v>12</v>
      </c>
      <c r="AP16" s="14">
        <v>250</v>
      </c>
      <c r="AQ16" s="14" t="s">
        <v>42</v>
      </c>
      <c r="AR16" s="14" t="s">
        <v>38</v>
      </c>
      <c r="AS16" s="34"/>
      <c r="AT16" s="34"/>
      <c r="AU16" s="14" t="s">
        <v>35</v>
      </c>
      <c r="AV16" s="14" t="s">
        <v>38</v>
      </c>
      <c r="AW16" s="14" t="s">
        <v>38</v>
      </c>
      <c r="AX16" s="29"/>
      <c r="AY16" s="29"/>
      <c r="AZ16" s="29">
        <v>35</v>
      </c>
      <c r="BA16" s="29">
        <v>2200</v>
      </c>
      <c r="BB16" s="14" t="s">
        <v>42</v>
      </c>
      <c r="BC16" s="14">
        <v>0</v>
      </c>
      <c r="BD16" s="14">
        <v>0</v>
      </c>
      <c r="BE16" s="14" t="s">
        <v>40</v>
      </c>
      <c r="BF16" s="35" t="s">
        <v>80</v>
      </c>
      <c r="BG16" s="36">
        <f>T16/100*(47)*12.91</f>
        <v>7008.1935</v>
      </c>
      <c r="BH16" s="36">
        <f>T16/100*(53)*25.82</f>
        <v>15805.713000000003</v>
      </c>
      <c r="BI16" s="37">
        <f t="shared" si="0"/>
        <v>22813.906500000005</v>
      </c>
      <c r="BJ16" s="36">
        <v>5732</v>
      </c>
      <c r="BK16" s="37">
        <f aca="true" t="shared" si="2" ref="BK16:BK21">BJ16+BI16</f>
        <v>28545.906500000005</v>
      </c>
      <c r="BL16" s="38">
        <v>0</v>
      </c>
      <c r="BM16" s="38">
        <f t="shared" si="1"/>
        <v>0</v>
      </c>
      <c r="BN16" s="37">
        <v>15714.285714285714</v>
      </c>
      <c r="BO16" s="17"/>
      <c r="BP16" s="17"/>
      <c r="BQ16" s="17"/>
      <c r="BR16" s="17"/>
    </row>
    <row r="17" spans="1:70" ht="105">
      <c r="A17" s="12" t="s">
        <v>81</v>
      </c>
      <c r="B17" s="2">
        <v>2011</v>
      </c>
      <c r="C17" s="3" t="s">
        <v>33</v>
      </c>
      <c r="D17" s="3" t="s">
        <v>57</v>
      </c>
      <c r="E17" s="3"/>
      <c r="F17" s="11" t="s">
        <v>35</v>
      </c>
      <c r="G17" s="3" t="s">
        <v>36</v>
      </c>
      <c r="H17" s="14" t="s">
        <v>36</v>
      </c>
      <c r="I17" s="31" t="s">
        <v>466</v>
      </c>
      <c r="J17" s="31">
        <v>600</v>
      </c>
      <c r="K17" s="14" t="s">
        <v>472</v>
      </c>
      <c r="L17" s="18">
        <v>11772</v>
      </c>
      <c r="M17" s="18">
        <v>11405</v>
      </c>
      <c r="N17" s="18">
        <v>9868</v>
      </c>
      <c r="O17" s="18">
        <v>11800</v>
      </c>
      <c r="P17" s="18">
        <v>12303</v>
      </c>
      <c r="Q17" s="18">
        <v>11605</v>
      </c>
      <c r="R17" s="18">
        <v>12695</v>
      </c>
      <c r="S17" s="32">
        <f>(R17-Q17)/R17</f>
        <v>0.08586057502953919</v>
      </c>
      <c r="T17" s="18">
        <f>R17/100*73</f>
        <v>9267.35</v>
      </c>
      <c r="U17" s="14" t="s">
        <v>40</v>
      </c>
      <c r="V17" s="18">
        <v>7384</v>
      </c>
      <c r="W17" s="14" t="s">
        <v>40</v>
      </c>
      <c r="X17" s="18">
        <v>5311</v>
      </c>
      <c r="Y17" s="14" t="s">
        <v>40</v>
      </c>
      <c r="Z17" s="33" t="s">
        <v>82</v>
      </c>
      <c r="AA17" s="14" t="s">
        <v>35</v>
      </c>
      <c r="AB17" s="18" t="s">
        <v>51</v>
      </c>
      <c r="AC17" s="14" t="s">
        <v>35</v>
      </c>
      <c r="AD17" s="18">
        <v>1811</v>
      </c>
      <c r="AE17" s="18">
        <v>76</v>
      </c>
      <c r="AF17" s="18">
        <v>4137</v>
      </c>
      <c r="AG17" s="14" t="s">
        <v>40</v>
      </c>
      <c r="AH17" s="14">
        <v>3</v>
      </c>
      <c r="AI17" s="20">
        <v>418</v>
      </c>
      <c r="AJ17" s="14">
        <v>79</v>
      </c>
      <c r="AK17" s="14" t="s">
        <v>40</v>
      </c>
      <c r="AL17" s="14">
        <v>31</v>
      </c>
      <c r="AM17" s="14">
        <v>2628</v>
      </c>
      <c r="AN17" s="14" t="s">
        <v>40</v>
      </c>
      <c r="AO17" s="14">
        <v>31</v>
      </c>
      <c r="AP17" s="29">
        <v>1566</v>
      </c>
      <c r="AQ17" s="14" t="s">
        <v>40</v>
      </c>
      <c r="AR17" s="14" t="s">
        <v>35</v>
      </c>
      <c r="AS17" s="34">
        <v>4.5</v>
      </c>
      <c r="AT17" s="34">
        <v>2.5</v>
      </c>
      <c r="AU17" s="14" t="s">
        <v>35</v>
      </c>
      <c r="AV17" s="14" t="s">
        <v>35</v>
      </c>
      <c r="AW17" s="14" t="s">
        <v>38</v>
      </c>
      <c r="AX17" s="29">
        <v>140</v>
      </c>
      <c r="AY17" s="29">
        <v>14000</v>
      </c>
      <c r="AZ17" s="29">
        <v>120</v>
      </c>
      <c r="BA17" s="29">
        <v>14000</v>
      </c>
      <c r="BB17" s="14" t="s">
        <v>42</v>
      </c>
      <c r="BC17" s="14">
        <v>8</v>
      </c>
      <c r="BD17" s="14">
        <v>4</v>
      </c>
      <c r="BE17" s="14" t="s">
        <v>40</v>
      </c>
      <c r="BF17" s="35" t="s">
        <v>83</v>
      </c>
      <c r="BG17" s="36">
        <f>T17/100*(44)*11.29</f>
        <v>46036.487859999994</v>
      </c>
      <c r="BH17" s="36">
        <f>T17/100*(56)*22.59</f>
        <v>117235.68444000001</v>
      </c>
      <c r="BI17" s="37">
        <f t="shared" si="0"/>
        <v>163272.1723</v>
      </c>
      <c r="BJ17" s="36">
        <v>48192</v>
      </c>
      <c r="BK17" s="37">
        <f t="shared" si="2"/>
        <v>211464.1723</v>
      </c>
      <c r="BL17" s="38">
        <v>1.9979999999999998</v>
      </c>
      <c r="BM17" s="38">
        <f t="shared" si="1"/>
        <v>5.997999999999999</v>
      </c>
      <c r="BN17" s="37">
        <v>100000</v>
      </c>
      <c r="BO17" s="17"/>
      <c r="BP17" s="17"/>
      <c r="BQ17" s="17"/>
      <c r="BR17" s="17"/>
    </row>
    <row r="18" spans="1:70" ht="45">
      <c r="A18" s="12" t="s">
        <v>84</v>
      </c>
      <c r="B18" s="2">
        <v>866</v>
      </c>
      <c r="C18" s="3" t="s">
        <v>33</v>
      </c>
      <c r="D18" s="3" t="s">
        <v>61</v>
      </c>
      <c r="E18" s="3"/>
      <c r="F18" s="11" t="s">
        <v>35</v>
      </c>
      <c r="G18" s="3" t="s">
        <v>36</v>
      </c>
      <c r="H18" s="14" t="s">
        <v>37</v>
      </c>
      <c r="I18" s="31" t="s">
        <v>466</v>
      </c>
      <c r="J18" s="31">
        <v>384</v>
      </c>
      <c r="K18" s="14" t="s">
        <v>471</v>
      </c>
      <c r="L18" s="18">
        <v>1707</v>
      </c>
      <c r="M18" s="18">
        <v>1806</v>
      </c>
      <c r="N18" s="18">
        <v>1655</v>
      </c>
      <c r="O18" s="18"/>
      <c r="P18" s="18">
        <v>1366</v>
      </c>
      <c r="Q18" s="18">
        <v>1325</v>
      </c>
      <c r="R18" s="18">
        <v>979</v>
      </c>
      <c r="S18" s="32">
        <f>(R18-Q18)/R18</f>
        <v>-0.3534218590398366</v>
      </c>
      <c r="T18" s="18">
        <f>R18/100*77</f>
        <v>753.8299999999999</v>
      </c>
      <c r="U18" s="14" t="s">
        <v>40</v>
      </c>
      <c r="V18" s="18">
        <v>797</v>
      </c>
      <c r="W18" s="14" t="s">
        <v>40</v>
      </c>
      <c r="X18" s="18">
        <v>182</v>
      </c>
      <c r="Y18" s="14" t="s">
        <v>40</v>
      </c>
      <c r="Z18" s="33" t="s">
        <v>41</v>
      </c>
      <c r="AA18" s="14" t="s">
        <v>35</v>
      </c>
      <c r="AB18" s="18" t="s">
        <v>46</v>
      </c>
      <c r="AC18" s="14" t="s">
        <v>35</v>
      </c>
      <c r="AD18" s="18">
        <v>216</v>
      </c>
      <c r="AE18" s="18" t="s">
        <v>46</v>
      </c>
      <c r="AF18" s="18" t="s">
        <v>46</v>
      </c>
      <c r="AG18" s="14" t="s">
        <v>37</v>
      </c>
      <c r="AH18" s="14" t="s">
        <v>46</v>
      </c>
      <c r="AI18" s="20" t="s">
        <v>46</v>
      </c>
      <c r="AJ18" s="14" t="s">
        <v>46</v>
      </c>
      <c r="AK18" s="14" t="s">
        <v>37</v>
      </c>
      <c r="AL18" s="14">
        <v>9</v>
      </c>
      <c r="AM18" s="14">
        <v>296</v>
      </c>
      <c r="AN18" s="14" t="s">
        <v>40</v>
      </c>
      <c r="AO18" s="14">
        <v>7</v>
      </c>
      <c r="AP18" s="14">
        <v>81</v>
      </c>
      <c r="AQ18" s="14" t="s">
        <v>40</v>
      </c>
      <c r="AR18" s="14" t="s">
        <v>35</v>
      </c>
      <c r="AS18" s="34">
        <v>1.5</v>
      </c>
      <c r="AT18" s="34">
        <v>0.2</v>
      </c>
      <c r="AU18" s="14" t="s">
        <v>35</v>
      </c>
      <c r="AV18" s="14" t="s">
        <v>38</v>
      </c>
      <c r="AW18" s="14" t="s">
        <v>38</v>
      </c>
      <c r="AX18" s="29">
        <v>60</v>
      </c>
      <c r="AY18" s="29">
        <v>2000</v>
      </c>
      <c r="AZ18" s="29">
        <v>51</v>
      </c>
      <c r="BA18" s="29">
        <v>2324</v>
      </c>
      <c r="BB18" s="14" t="s">
        <v>40</v>
      </c>
      <c r="BC18" s="14">
        <v>0</v>
      </c>
      <c r="BD18" s="14">
        <v>0</v>
      </c>
      <c r="BE18" s="14" t="s">
        <v>37</v>
      </c>
      <c r="BF18" s="35" t="s">
        <v>85</v>
      </c>
      <c r="BG18" s="36">
        <f>T18/100*(47)*12.91</f>
        <v>4574.0142909999995</v>
      </c>
      <c r="BH18" s="36">
        <f>T18/100*(53)*25.82</f>
        <v>10315.862018</v>
      </c>
      <c r="BI18" s="37">
        <f t="shared" si="0"/>
        <v>14889.876309</v>
      </c>
      <c r="BJ18" s="36">
        <v>6884</v>
      </c>
      <c r="BK18" s="37">
        <f t="shared" si="2"/>
        <v>21773.876309</v>
      </c>
      <c r="BL18" s="38">
        <v>0</v>
      </c>
      <c r="BM18" s="38">
        <f t="shared" si="1"/>
        <v>0</v>
      </c>
      <c r="BN18" s="37">
        <v>16600</v>
      </c>
      <c r="BO18" s="17"/>
      <c r="BP18" s="17"/>
      <c r="BQ18" s="17"/>
      <c r="BR18" s="17"/>
    </row>
    <row r="19" spans="1:70" ht="90">
      <c r="A19" s="13" t="s">
        <v>86</v>
      </c>
      <c r="B19" s="2">
        <v>1473</v>
      </c>
      <c r="C19" s="3" t="s">
        <v>33</v>
      </c>
      <c r="D19" s="16" t="s">
        <v>44</v>
      </c>
      <c r="E19" s="16"/>
      <c r="F19" s="11" t="s">
        <v>35</v>
      </c>
      <c r="G19" s="3" t="s">
        <v>36</v>
      </c>
      <c r="H19" s="14" t="s">
        <v>36</v>
      </c>
      <c r="I19" s="31" t="s">
        <v>466</v>
      </c>
      <c r="J19" s="31">
        <v>470</v>
      </c>
      <c r="K19" s="14" t="s">
        <v>471</v>
      </c>
      <c r="L19" s="18">
        <v>3471</v>
      </c>
      <c r="M19" s="18">
        <v>2900</v>
      </c>
      <c r="N19" s="18">
        <v>1723</v>
      </c>
      <c r="O19" s="18">
        <v>1134</v>
      </c>
      <c r="P19" s="18">
        <v>1097</v>
      </c>
      <c r="Q19" s="18">
        <v>2082</v>
      </c>
      <c r="R19" s="18">
        <v>2869</v>
      </c>
      <c r="S19" s="32">
        <f>(R19-Q19)/R19</f>
        <v>0.2743116068316487</v>
      </c>
      <c r="T19" s="18">
        <f>R19/100*77</f>
        <v>2209.13</v>
      </c>
      <c r="U19" s="14" t="s">
        <v>40</v>
      </c>
      <c r="V19" s="18">
        <v>2079</v>
      </c>
      <c r="W19" s="14" t="s">
        <v>40</v>
      </c>
      <c r="X19" s="18">
        <v>790</v>
      </c>
      <c r="Y19" s="14" t="s">
        <v>40</v>
      </c>
      <c r="Z19" s="33" t="s">
        <v>87</v>
      </c>
      <c r="AA19" s="14" t="s">
        <v>35</v>
      </c>
      <c r="AB19" s="18" t="s">
        <v>37</v>
      </c>
      <c r="AC19" s="14" t="s">
        <v>35</v>
      </c>
      <c r="AD19" s="18" t="s">
        <v>37</v>
      </c>
      <c r="AE19" s="18">
        <v>5</v>
      </c>
      <c r="AF19" s="18">
        <v>208</v>
      </c>
      <c r="AG19" s="14" t="s">
        <v>40</v>
      </c>
      <c r="AH19" s="14">
        <v>4</v>
      </c>
      <c r="AI19" s="20">
        <v>210</v>
      </c>
      <c r="AJ19" s="14">
        <v>8</v>
      </c>
      <c r="AK19" s="14" t="s">
        <v>40</v>
      </c>
      <c r="AL19" s="14">
        <v>10</v>
      </c>
      <c r="AM19" s="14">
        <v>211</v>
      </c>
      <c r="AN19" s="14" t="s">
        <v>40</v>
      </c>
      <c r="AO19" s="14">
        <v>4</v>
      </c>
      <c r="AP19" s="14">
        <v>168</v>
      </c>
      <c r="AQ19" s="14" t="s">
        <v>40</v>
      </c>
      <c r="AR19" s="14" t="s">
        <v>35</v>
      </c>
      <c r="AS19" s="34">
        <v>4</v>
      </c>
      <c r="AT19" s="34">
        <v>2</v>
      </c>
      <c r="AU19" s="14" t="s">
        <v>38</v>
      </c>
      <c r="AV19" s="14" t="s">
        <v>38</v>
      </c>
      <c r="AW19" s="14" t="s">
        <v>38</v>
      </c>
      <c r="AX19" s="29">
        <v>68</v>
      </c>
      <c r="AY19" s="29">
        <v>2600</v>
      </c>
      <c r="AZ19" s="29">
        <v>72</v>
      </c>
      <c r="BA19" s="29">
        <v>4948</v>
      </c>
      <c r="BB19" s="14" t="s">
        <v>40</v>
      </c>
      <c r="BC19" s="14">
        <v>1</v>
      </c>
      <c r="BD19" s="14">
        <v>0.4</v>
      </c>
      <c r="BE19" s="14" t="s">
        <v>40</v>
      </c>
      <c r="BF19" s="35" t="s">
        <v>504</v>
      </c>
      <c r="BG19" s="36">
        <f>T19/100*(47)*17.99</f>
        <v>18678.856888999995</v>
      </c>
      <c r="BH19" s="36">
        <f>T19/100*(53)*35.98</f>
        <v>42126.783621999995</v>
      </c>
      <c r="BI19" s="37">
        <f t="shared" si="0"/>
        <v>60805.64051099999</v>
      </c>
      <c r="BJ19" s="36">
        <v>54313</v>
      </c>
      <c r="BK19" s="37">
        <f t="shared" si="2"/>
        <v>115118.64051099999</v>
      </c>
      <c r="BL19" s="38">
        <v>0.21330000000000002</v>
      </c>
      <c r="BM19" s="38">
        <f t="shared" si="1"/>
        <v>0.6133000000000001</v>
      </c>
      <c r="BN19" s="37">
        <v>35342.857142857145</v>
      </c>
      <c r="BO19" s="17"/>
      <c r="BP19" s="17"/>
      <c r="BQ19" s="17"/>
      <c r="BR19" s="17"/>
    </row>
    <row r="20" spans="1:70" ht="30">
      <c r="A20" s="3" t="s">
        <v>88</v>
      </c>
      <c r="B20" s="2">
        <v>1048</v>
      </c>
      <c r="C20" s="3" t="s">
        <v>33</v>
      </c>
      <c r="D20" s="3" t="s">
        <v>57</v>
      </c>
      <c r="E20" s="3"/>
      <c r="F20" s="11" t="s">
        <v>35</v>
      </c>
      <c r="G20" s="3" t="s">
        <v>36</v>
      </c>
      <c r="H20" s="14" t="s">
        <v>37</v>
      </c>
      <c r="I20" s="31" t="s">
        <v>465</v>
      </c>
      <c r="J20" s="31">
        <v>1040</v>
      </c>
      <c r="K20" s="14" t="s">
        <v>471</v>
      </c>
      <c r="L20" s="18"/>
      <c r="M20" s="18"/>
      <c r="N20" s="18"/>
      <c r="O20" s="18"/>
      <c r="P20" s="18"/>
      <c r="Q20" s="18"/>
      <c r="R20" s="18">
        <v>4211</v>
      </c>
      <c r="S20" s="32"/>
      <c r="T20" s="18">
        <f>R20/100*77</f>
        <v>3242.47</v>
      </c>
      <c r="U20" s="14" t="s">
        <v>40</v>
      </c>
      <c r="V20" s="18" t="s">
        <v>46</v>
      </c>
      <c r="W20" s="14" t="s">
        <v>37</v>
      </c>
      <c r="X20" s="18" t="s">
        <v>46</v>
      </c>
      <c r="Y20" s="14" t="s">
        <v>37</v>
      </c>
      <c r="Z20" s="33" t="s">
        <v>38</v>
      </c>
      <c r="AA20" s="14" t="s">
        <v>35</v>
      </c>
      <c r="AB20" s="18" t="s">
        <v>46</v>
      </c>
      <c r="AC20" s="14" t="s">
        <v>35</v>
      </c>
      <c r="AD20" s="18" t="s">
        <v>46</v>
      </c>
      <c r="AE20" s="18">
        <v>15</v>
      </c>
      <c r="AF20" s="18">
        <v>494</v>
      </c>
      <c r="AG20" s="14" t="s">
        <v>40</v>
      </c>
      <c r="AH20" s="14">
        <v>15</v>
      </c>
      <c r="AI20" s="20" t="s">
        <v>46</v>
      </c>
      <c r="AJ20" s="14" t="s">
        <v>46</v>
      </c>
      <c r="AK20" s="14" t="s">
        <v>37</v>
      </c>
      <c r="AL20" s="14">
        <v>350</v>
      </c>
      <c r="AM20" s="14">
        <v>2400</v>
      </c>
      <c r="AN20" s="14" t="s">
        <v>42</v>
      </c>
      <c r="AO20" s="14" t="s">
        <v>46</v>
      </c>
      <c r="AP20" s="14" t="s">
        <v>46</v>
      </c>
      <c r="AQ20" s="14" t="s">
        <v>37</v>
      </c>
      <c r="AR20" s="14" t="s">
        <v>38</v>
      </c>
      <c r="AS20" s="34"/>
      <c r="AT20" s="34"/>
      <c r="AU20" s="14" t="s">
        <v>35</v>
      </c>
      <c r="AV20" s="14" t="s">
        <v>38</v>
      </c>
      <c r="AW20" s="14" t="s">
        <v>38</v>
      </c>
      <c r="AX20" s="29"/>
      <c r="AY20" s="29"/>
      <c r="AZ20" s="29">
        <v>160</v>
      </c>
      <c r="BA20" s="29" t="s">
        <v>46</v>
      </c>
      <c r="BB20" s="14" t="s">
        <v>37</v>
      </c>
      <c r="BC20" s="14">
        <v>1</v>
      </c>
      <c r="BD20" s="14" t="s">
        <v>236</v>
      </c>
      <c r="BE20" s="14" t="s">
        <v>42</v>
      </c>
      <c r="BF20" s="35" t="s">
        <v>37</v>
      </c>
      <c r="BG20" s="36">
        <f>T20/100*(47)*11.29</f>
        <v>17205.518561</v>
      </c>
      <c r="BH20" s="36">
        <f>T20/100*(53)*22.59</f>
        <v>38821.120569</v>
      </c>
      <c r="BI20" s="37">
        <f t="shared" si="0"/>
        <v>56026.639129999996</v>
      </c>
      <c r="BJ20" s="36"/>
      <c r="BK20" s="37">
        <f t="shared" si="2"/>
        <v>56026.639129999996</v>
      </c>
      <c r="BL20" s="38"/>
      <c r="BM20" s="38"/>
      <c r="BN20" s="37"/>
      <c r="BO20" s="17"/>
      <c r="BP20" s="17"/>
      <c r="BQ20" s="17"/>
      <c r="BR20" s="17"/>
    </row>
    <row r="21" spans="1:70" ht="30">
      <c r="A21" s="12" t="s">
        <v>89</v>
      </c>
      <c r="B21" s="2">
        <v>697</v>
      </c>
      <c r="C21" s="3" t="s">
        <v>33</v>
      </c>
      <c r="D21" s="16" t="s">
        <v>44</v>
      </c>
      <c r="E21" s="16"/>
      <c r="F21" s="11" t="s">
        <v>35</v>
      </c>
      <c r="G21" s="3" t="s">
        <v>36</v>
      </c>
      <c r="H21" s="14" t="s">
        <v>36</v>
      </c>
      <c r="I21" s="31" t="s">
        <v>465</v>
      </c>
      <c r="J21" s="31">
        <v>238</v>
      </c>
      <c r="K21" s="14" t="s">
        <v>471</v>
      </c>
      <c r="L21" s="18">
        <v>4410</v>
      </c>
      <c r="M21" s="18">
        <v>4696</v>
      </c>
      <c r="N21" s="18">
        <v>4004</v>
      </c>
      <c r="O21" s="18">
        <v>4047</v>
      </c>
      <c r="P21" s="18">
        <v>4767</v>
      </c>
      <c r="Q21" s="18">
        <v>5063</v>
      </c>
      <c r="R21" s="18">
        <v>6124</v>
      </c>
      <c r="S21" s="32">
        <f>(R21-Q21)/R21</f>
        <v>0.1732527759634226</v>
      </c>
      <c r="T21" s="18">
        <f>R21/100*77</f>
        <v>4715.4800000000005</v>
      </c>
      <c r="U21" s="14" t="s">
        <v>42</v>
      </c>
      <c r="V21" s="18">
        <v>4332</v>
      </c>
      <c r="W21" s="14" t="s">
        <v>42</v>
      </c>
      <c r="X21" s="18">
        <v>1792</v>
      </c>
      <c r="Y21" s="14" t="s">
        <v>42</v>
      </c>
      <c r="Z21" s="33" t="s">
        <v>37</v>
      </c>
      <c r="AA21" s="14" t="s">
        <v>35</v>
      </c>
      <c r="AB21" s="18" t="s">
        <v>37</v>
      </c>
      <c r="AC21" s="14" t="s">
        <v>35</v>
      </c>
      <c r="AD21" s="18">
        <v>1710</v>
      </c>
      <c r="AE21" s="18">
        <v>19</v>
      </c>
      <c r="AF21" s="18">
        <v>589</v>
      </c>
      <c r="AG21" s="14" t="s">
        <v>40</v>
      </c>
      <c r="AH21" s="14">
        <v>0</v>
      </c>
      <c r="AI21" s="20">
        <v>0</v>
      </c>
      <c r="AJ21" s="14">
        <v>8</v>
      </c>
      <c r="AK21" s="14" t="s">
        <v>40</v>
      </c>
      <c r="AL21" s="14">
        <v>15</v>
      </c>
      <c r="AM21" s="14">
        <v>343</v>
      </c>
      <c r="AN21" s="14" t="s">
        <v>40</v>
      </c>
      <c r="AO21" s="14">
        <v>5</v>
      </c>
      <c r="AP21" s="14">
        <v>250</v>
      </c>
      <c r="AQ21" s="14" t="s">
        <v>42</v>
      </c>
      <c r="AR21" s="14" t="s">
        <v>35</v>
      </c>
      <c r="AS21" s="34">
        <v>3.5</v>
      </c>
      <c r="AT21" s="34">
        <v>1.5</v>
      </c>
      <c r="AU21" s="14" t="s">
        <v>35</v>
      </c>
      <c r="AV21" s="14" t="s">
        <v>35</v>
      </c>
      <c r="AW21" s="14" t="s">
        <v>38</v>
      </c>
      <c r="AX21" s="29">
        <v>75</v>
      </c>
      <c r="AY21" s="29">
        <v>7000</v>
      </c>
      <c r="AZ21" s="29">
        <v>75</v>
      </c>
      <c r="BA21" s="29">
        <v>5426</v>
      </c>
      <c r="BB21" s="14" t="s">
        <v>40</v>
      </c>
      <c r="BC21" s="14">
        <v>2</v>
      </c>
      <c r="BD21" s="14">
        <v>1</v>
      </c>
      <c r="BE21" s="14" t="s">
        <v>40</v>
      </c>
      <c r="BF21" s="35" t="s">
        <v>37</v>
      </c>
      <c r="BG21" s="36">
        <f>T21/100*(47)*17.99</f>
        <v>39870.798043999996</v>
      </c>
      <c r="BH21" s="36">
        <f>T21/100*(53)*35.98</f>
        <v>89921.374312</v>
      </c>
      <c r="BI21" s="37">
        <f t="shared" si="0"/>
        <v>129792.172356</v>
      </c>
      <c r="BJ21" s="36">
        <v>20765</v>
      </c>
      <c r="BK21" s="37">
        <f t="shared" si="2"/>
        <v>150557.172356</v>
      </c>
      <c r="BL21" s="38">
        <v>0.53325</v>
      </c>
      <c r="BM21" s="38">
        <f t="shared" si="1"/>
        <v>1.53325</v>
      </c>
      <c r="BN21" s="37">
        <v>38757.142857142855</v>
      </c>
      <c r="BO21" s="17"/>
      <c r="BP21" s="17"/>
      <c r="BQ21" s="17"/>
      <c r="BR21" s="17"/>
    </row>
    <row r="22" spans="1:70" ht="62.25" customHeight="1">
      <c r="A22" s="3" t="s">
        <v>90</v>
      </c>
      <c r="B22" s="2">
        <v>699</v>
      </c>
      <c r="C22" s="3" t="s">
        <v>33</v>
      </c>
      <c r="D22" s="16" t="s">
        <v>91</v>
      </c>
      <c r="E22" s="16"/>
      <c r="F22" s="11"/>
      <c r="G22" s="3" t="s">
        <v>67</v>
      </c>
      <c r="H22" s="14"/>
      <c r="I22" s="39"/>
      <c r="J22" s="39"/>
      <c r="K22" s="14"/>
      <c r="L22" s="18"/>
      <c r="M22" s="18"/>
      <c r="N22" s="18"/>
      <c r="O22" s="18"/>
      <c r="P22" s="18"/>
      <c r="Q22" s="18"/>
      <c r="R22" s="18"/>
      <c r="S22" s="32"/>
      <c r="T22" s="18"/>
      <c r="U22" s="14"/>
      <c r="V22" s="18"/>
      <c r="W22" s="14"/>
      <c r="X22" s="18"/>
      <c r="Y22" s="14"/>
      <c r="Z22" s="33"/>
      <c r="AA22" s="14" t="s">
        <v>35</v>
      </c>
      <c r="AB22" s="18"/>
      <c r="AC22" s="14"/>
      <c r="AD22" s="18"/>
      <c r="AE22" s="18"/>
      <c r="AF22" s="18"/>
      <c r="AG22" s="14"/>
      <c r="AH22" s="14"/>
      <c r="AI22" s="20"/>
      <c r="AJ22" s="14"/>
      <c r="AK22" s="14"/>
      <c r="AL22" s="14"/>
      <c r="AM22" s="14"/>
      <c r="AN22" s="14"/>
      <c r="AO22" s="14"/>
      <c r="AP22" s="14"/>
      <c r="AQ22" s="14"/>
      <c r="AR22" s="14" t="s">
        <v>38</v>
      </c>
      <c r="AS22" s="34"/>
      <c r="AT22" s="34"/>
      <c r="AU22" s="14" t="s">
        <v>35</v>
      </c>
      <c r="AV22" s="14"/>
      <c r="AW22" s="14"/>
      <c r="AX22" s="29"/>
      <c r="AY22" s="29"/>
      <c r="AZ22" s="29"/>
      <c r="BA22" s="29"/>
      <c r="BB22" s="14"/>
      <c r="BC22" s="14"/>
      <c r="BD22" s="14"/>
      <c r="BE22" s="14"/>
      <c r="BF22" s="35"/>
      <c r="BG22" s="36"/>
      <c r="BH22" s="36"/>
      <c r="BI22" s="37"/>
      <c r="BJ22" s="36"/>
      <c r="BK22" s="37"/>
      <c r="BL22" s="38"/>
      <c r="BM22" s="38">
        <f t="shared" si="1"/>
        <v>0</v>
      </c>
      <c r="BN22" s="37"/>
      <c r="BO22" s="17"/>
      <c r="BP22" s="17"/>
      <c r="BQ22" s="17"/>
      <c r="BR22" s="17"/>
    </row>
    <row r="23" spans="1:66" s="17" customFormat="1" ht="45">
      <c r="A23" s="3" t="s">
        <v>92</v>
      </c>
      <c r="B23" s="2"/>
      <c r="C23" s="3" t="s">
        <v>93</v>
      </c>
      <c r="D23" s="16" t="s">
        <v>44</v>
      </c>
      <c r="E23" s="16"/>
      <c r="F23" s="11" t="s">
        <v>35</v>
      </c>
      <c r="G23" s="14" t="s">
        <v>36</v>
      </c>
      <c r="H23" s="14" t="s">
        <v>36</v>
      </c>
      <c r="I23" s="31" t="s">
        <v>465</v>
      </c>
      <c r="J23" s="31">
        <v>2000</v>
      </c>
      <c r="K23" s="14" t="s">
        <v>472</v>
      </c>
      <c r="L23" s="18"/>
      <c r="M23" s="18"/>
      <c r="N23" s="18"/>
      <c r="O23" s="18"/>
      <c r="P23" s="18"/>
      <c r="Q23" s="18"/>
      <c r="R23" s="18">
        <v>16600</v>
      </c>
      <c r="S23" s="32"/>
      <c r="T23" s="18">
        <f>R23/100*73</f>
        <v>12118</v>
      </c>
      <c r="U23" s="14" t="s">
        <v>42</v>
      </c>
      <c r="V23" s="18">
        <v>9130</v>
      </c>
      <c r="W23" s="14" t="s">
        <v>42</v>
      </c>
      <c r="X23" s="18">
        <v>7470</v>
      </c>
      <c r="Y23" s="14" t="s">
        <v>42</v>
      </c>
      <c r="Z23" s="33" t="s">
        <v>94</v>
      </c>
      <c r="AA23" s="14" t="s">
        <v>35</v>
      </c>
      <c r="AB23" s="18" t="s">
        <v>37</v>
      </c>
      <c r="AC23" s="14" t="s">
        <v>35</v>
      </c>
      <c r="AD23" s="18">
        <v>20000</v>
      </c>
      <c r="AE23" s="18">
        <v>63</v>
      </c>
      <c r="AF23" s="18">
        <v>1890</v>
      </c>
      <c r="AG23" s="14" t="s">
        <v>42</v>
      </c>
      <c r="AH23" s="14">
        <v>5</v>
      </c>
      <c r="AI23" s="20">
        <v>250</v>
      </c>
      <c r="AJ23" s="14">
        <v>50</v>
      </c>
      <c r="AK23" s="14" t="s">
        <v>42</v>
      </c>
      <c r="AL23" s="14">
        <v>60</v>
      </c>
      <c r="AM23" s="14">
        <v>1000</v>
      </c>
      <c r="AN23" s="14" t="s">
        <v>42</v>
      </c>
      <c r="AO23" s="14" t="s">
        <v>37</v>
      </c>
      <c r="AP23" s="14" t="s">
        <v>37</v>
      </c>
      <c r="AQ23" s="14" t="s">
        <v>37</v>
      </c>
      <c r="AR23" s="14" t="s">
        <v>35</v>
      </c>
      <c r="AS23" s="34">
        <v>8</v>
      </c>
      <c r="AT23" s="34">
        <v>6</v>
      </c>
      <c r="AU23" s="14" t="s">
        <v>35</v>
      </c>
      <c r="AV23" s="14" t="s">
        <v>35</v>
      </c>
      <c r="AW23" s="14" t="s">
        <v>38</v>
      </c>
      <c r="AX23" s="29"/>
      <c r="AY23" s="29"/>
      <c r="AZ23" s="29">
        <v>30</v>
      </c>
      <c r="BA23" s="29">
        <v>1750</v>
      </c>
      <c r="BB23" s="14" t="s">
        <v>42</v>
      </c>
      <c r="BC23" s="14">
        <v>6</v>
      </c>
      <c r="BD23" s="14">
        <v>4</v>
      </c>
      <c r="BE23" s="14" t="s">
        <v>40</v>
      </c>
      <c r="BF23" s="35" t="s">
        <v>37</v>
      </c>
      <c r="BG23" s="36">
        <f>T23/100*(44)*17.99</f>
        <v>95921.2408</v>
      </c>
      <c r="BH23" s="36">
        <f>T23/100*(56)*35.98</f>
        <v>244163.1584</v>
      </c>
      <c r="BI23" s="37">
        <f t="shared" si="0"/>
        <v>340084.3992</v>
      </c>
      <c r="BJ23" s="36"/>
      <c r="BK23" s="37">
        <f aca="true" t="shared" si="3" ref="BK23:BK28">BJ23+BI23</f>
        <v>340084.3992</v>
      </c>
      <c r="BL23" s="38">
        <v>1.9979999999999998</v>
      </c>
      <c r="BM23" s="38">
        <f t="shared" si="1"/>
        <v>5.997999999999999</v>
      </c>
      <c r="BN23" s="37">
        <v>12500</v>
      </c>
    </row>
    <row r="24" spans="1:66" s="17" customFormat="1" ht="30">
      <c r="A24" s="12" t="s">
        <v>95</v>
      </c>
      <c r="B24" s="2">
        <v>1423</v>
      </c>
      <c r="C24" s="3" t="s">
        <v>33</v>
      </c>
      <c r="D24" s="16" t="s">
        <v>44</v>
      </c>
      <c r="E24" s="16"/>
      <c r="F24" s="11" t="s">
        <v>35</v>
      </c>
      <c r="G24" s="3" t="s">
        <v>36</v>
      </c>
      <c r="H24" s="14" t="s">
        <v>37</v>
      </c>
      <c r="I24" s="31" t="s">
        <v>465</v>
      </c>
      <c r="J24" s="31">
        <v>471</v>
      </c>
      <c r="K24" s="14" t="s">
        <v>471</v>
      </c>
      <c r="L24" s="18">
        <v>1151</v>
      </c>
      <c r="M24" s="18">
        <v>1127</v>
      </c>
      <c r="N24" s="18">
        <v>1308</v>
      </c>
      <c r="O24" s="18">
        <v>827</v>
      </c>
      <c r="P24" s="18">
        <v>749</v>
      </c>
      <c r="Q24" s="18">
        <v>1089</v>
      </c>
      <c r="R24" s="18">
        <v>1151</v>
      </c>
      <c r="S24" s="32">
        <f>(R24-Q24)/R24</f>
        <v>0.05386620330147698</v>
      </c>
      <c r="T24" s="18">
        <f>R24/100*77</f>
        <v>886.27</v>
      </c>
      <c r="U24" s="14" t="s">
        <v>40</v>
      </c>
      <c r="V24" s="18">
        <v>837</v>
      </c>
      <c r="W24" s="14" t="s">
        <v>40</v>
      </c>
      <c r="X24" s="18">
        <v>314</v>
      </c>
      <c r="Y24" s="14" t="s">
        <v>40</v>
      </c>
      <c r="Z24" s="33" t="s">
        <v>41</v>
      </c>
      <c r="AA24" s="14" t="s">
        <v>35</v>
      </c>
      <c r="AB24" s="18">
        <v>5219</v>
      </c>
      <c r="AC24" s="14" t="s">
        <v>35</v>
      </c>
      <c r="AD24" s="18" t="s">
        <v>96</v>
      </c>
      <c r="AE24" s="18">
        <v>8</v>
      </c>
      <c r="AF24" s="18">
        <v>167</v>
      </c>
      <c r="AG24" s="14" t="s">
        <v>40</v>
      </c>
      <c r="AH24" s="14">
        <v>5</v>
      </c>
      <c r="AI24" s="20">
        <v>701</v>
      </c>
      <c r="AJ24" s="14">
        <v>3</v>
      </c>
      <c r="AK24" s="14" t="s">
        <v>40</v>
      </c>
      <c r="AL24" s="14">
        <v>6</v>
      </c>
      <c r="AM24" s="14">
        <v>80</v>
      </c>
      <c r="AN24" s="14" t="s">
        <v>42</v>
      </c>
      <c r="AO24" s="14">
        <v>4</v>
      </c>
      <c r="AP24" s="14">
        <v>225</v>
      </c>
      <c r="AQ24" s="14" t="s">
        <v>42</v>
      </c>
      <c r="AR24" s="14" t="s">
        <v>38</v>
      </c>
      <c r="AS24" s="34"/>
      <c r="AT24" s="34"/>
      <c r="AU24" s="14" t="s">
        <v>35</v>
      </c>
      <c r="AV24" s="14" t="s">
        <v>38</v>
      </c>
      <c r="AW24" s="14" t="s">
        <v>38</v>
      </c>
      <c r="AX24" s="29">
        <v>10</v>
      </c>
      <c r="AY24" s="29">
        <v>1582</v>
      </c>
      <c r="AZ24" s="29">
        <v>25</v>
      </c>
      <c r="BA24" s="29">
        <v>3002</v>
      </c>
      <c r="BB24" s="14" t="s">
        <v>40</v>
      </c>
      <c r="BC24" s="14">
        <v>0</v>
      </c>
      <c r="BD24" s="14">
        <v>0</v>
      </c>
      <c r="BE24" s="14" t="s">
        <v>37</v>
      </c>
      <c r="BF24" s="35" t="s">
        <v>41</v>
      </c>
      <c r="BG24" s="36">
        <f>T24/100*(47)*17.99</f>
        <v>7493.678730999999</v>
      </c>
      <c r="BH24" s="36">
        <f>T24/100*(53)*35.98</f>
        <v>16900.637138</v>
      </c>
      <c r="BI24" s="37">
        <f t="shared" si="0"/>
        <v>24394.315869</v>
      </c>
      <c r="BJ24" s="36">
        <v>22400</v>
      </c>
      <c r="BK24" s="37">
        <f t="shared" si="3"/>
        <v>46794.315869</v>
      </c>
      <c r="BL24" s="38">
        <v>0</v>
      </c>
      <c r="BM24" s="38">
        <f t="shared" si="1"/>
        <v>0</v>
      </c>
      <c r="BN24" s="37">
        <v>21442.85714285714</v>
      </c>
    </row>
    <row r="25" spans="1:66" s="17" customFormat="1" ht="75">
      <c r="A25" s="3" t="s">
        <v>97</v>
      </c>
      <c r="B25" s="2">
        <v>579</v>
      </c>
      <c r="C25" s="3" t="s">
        <v>33</v>
      </c>
      <c r="D25" s="3" t="s">
        <v>61</v>
      </c>
      <c r="E25" s="3"/>
      <c r="F25" s="11" t="s">
        <v>35</v>
      </c>
      <c r="G25" s="3" t="s">
        <v>67</v>
      </c>
      <c r="H25" s="14" t="s">
        <v>67</v>
      </c>
      <c r="I25" s="31" t="s">
        <v>465</v>
      </c>
      <c r="J25" s="31">
        <v>2046</v>
      </c>
      <c r="K25" s="14" t="s">
        <v>473</v>
      </c>
      <c r="L25" s="18">
        <v>37587</v>
      </c>
      <c r="M25" s="18">
        <v>51026</v>
      </c>
      <c r="N25" s="18">
        <v>62321</v>
      </c>
      <c r="O25" s="18">
        <v>59118</v>
      </c>
      <c r="P25" s="18">
        <v>61130</v>
      </c>
      <c r="Q25" s="18">
        <v>61965</v>
      </c>
      <c r="R25" s="18">
        <v>60919</v>
      </c>
      <c r="S25" s="32">
        <f>(R25-Q25)/R25</f>
        <v>-0.017170340944532906</v>
      </c>
      <c r="T25" s="18">
        <f>R25/100*68</f>
        <v>41424.920000000006</v>
      </c>
      <c r="U25" s="14" t="s">
        <v>40</v>
      </c>
      <c r="V25" s="18" t="s">
        <v>58</v>
      </c>
      <c r="W25" s="14" t="s">
        <v>37</v>
      </c>
      <c r="X25" s="18" t="s">
        <v>58</v>
      </c>
      <c r="Y25" s="14" t="s">
        <v>37</v>
      </c>
      <c r="Z25" s="33" t="s">
        <v>98</v>
      </c>
      <c r="AA25" s="14" t="s">
        <v>38</v>
      </c>
      <c r="AB25" s="18">
        <v>36498</v>
      </c>
      <c r="AC25" s="14" t="s">
        <v>35</v>
      </c>
      <c r="AD25" s="18" t="s">
        <v>37</v>
      </c>
      <c r="AE25" s="18" t="s">
        <v>37</v>
      </c>
      <c r="AF25" s="18" t="s">
        <v>37</v>
      </c>
      <c r="AG25" s="14" t="s">
        <v>37</v>
      </c>
      <c r="AH25" s="14" t="s">
        <v>37</v>
      </c>
      <c r="AI25" s="20" t="s">
        <v>37</v>
      </c>
      <c r="AJ25" s="14" t="s">
        <v>37</v>
      </c>
      <c r="AK25" s="14" t="s">
        <v>37</v>
      </c>
      <c r="AL25" s="14" t="s">
        <v>37</v>
      </c>
      <c r="AM25" s="14" t="s">
        <v>37</v>
      </c>
      <c r="AN25" s="14" t="s">
        <v>37</v>
      </c>
      <c r="AO25" s="14" t="s">
        <v>37</v>
      </c>
      <c r="AP25" s="14" t="s">
        <v>37</v>
      </c>
      <c r="AQ25" s="14" t="s">
        <v>37</v>
      </c>
      <c r="AR25" s="14" t="s">
        <v>38</v>
      </c>
      <c r="AS25" s="34"/>
      <c r="AT25" s="34"/>
      <c r="AU25" s="14" t="s">
        <v>35</v>
      </c>
      <c r="AV25" s="14" t="s">
        <v>38</v>
      </c>
      <c r="AW25" s="14" t="s">
        <v>38</v>
      </c>
      <c r="AX25" s="29">
        <v>70</v>
      </c>
      <c r="AY25" s="29">
        <v>5500</v>
      </c>
      <c r="AZ25" s="29"/>
      <c r="BA25" s="29"/>
      <c r="BB25" s="14" t="s">
        <v>37</v>
      </c>
      <c r="BC25" s="14" t="s">
        <v>37</v>
      </c>
      <c r="BD25" s="14" t="s">
        <v>37</v>
      </c>
      <c r="BE25" s="14" t="s">
        <v>37</v>
      </c>
      <c r="BF25" s="35" t="s">
        <v>37</v>
      </c>
      <c r="BG25" s="36">
        <f>T25/100*(31)*12.91</f>
        <v>165786.67233200002</v>
      </c>
      <c r="BH25" s="36">
        <f>T25/100*(69)*25.82</f>
        <v>738018.089736</v>
      </c>
      <c r="BI25" s="37">
        <f t="shared" si="0"/>
        <v>903804.762068</v>
      </c>
      <c r="BJ25" s="36"/>
      <c r="BK25" s="37">
        <f t="shared" si="3"/>
        <v>903804.762068</v>
      </c>
      <c r="BL25" s="38"/>
      <c r="BM25" s="38"/>
      <c r="BN25" s="37"/>
    </row>
    <row r="26" spans="1:66" s="17" customFormat="1" ht="30">
      <c r="A26" s="12" t="s">
        <v>99</v>
      </c>
      <c r="B26" s="2">
        <v>731</v>
      </c>
      <c r="C26" s="3" t="s">
        <v>33</v>
      </c>
      <c r="D26" s="3" t="s">
        <v>50</v>
      </c>
      <c r="E26" s="3" t="s">
        <v>100</v>
      </c>
      <c r="F26" s="11" t="s">
        <v>35</v>
      </c>
      <c r="G26" s="3" t="s">
        <v>67</v>
      </c>
      <c r="H26" s="14" t="s">
        <v>67</v>
      </c>
      <c r="I26" s="39" t="s">
        <v>465</v>
      </c>
      <c r="J26" s="39">
        <v>2156</v>
      </c>
      <c r="K26" s="14" t="s">
        <v>473</v>
      </c>
      <c r="L26" s="18">
        <v>58099</v>
      </c>
      <c r="M26" s="18">
        <v>67671</v>
      </c>
      <c r="N26" s="18">
        <v>59859</v>
      </c>
      <c r="O26" s="18">
        <v>60127</v>
      </c>
      <c r="P26" s="18">
        <v>57196</v>
      </c>
      <c r="Q26" s="18">
        <v>53340</v>
      </c>
      <c r="R26" s="18">
        <v>57098</v>
      </c>
      <c r="S26" s="32">
        <f>(R26-Q26)/R26</f>
        <v>0.06581666608287506</v>
      </c>
      <c r="T26" s="18">
        <f>R26/100*68</f>
        <v>38826.64</v>
      </c>
      <c r="U26" s="14" t="s">
        <v>40</v>
      </c>
      <c r="V26" s="18">
        <v>43575</v>
      </c>
      <c r="W26" s="14" t="s">
        <v>40</v>
      </c>
      <c r="X26" s="18">
        <v>13523</v>
      </c>
      <c r="Y26" s="14" t="s">
        <v>40</v>
      </c>
      <c r="Z26" s="33" t="s">
        <v>38</v>
      </c>
      <c r="AA26" s="14" t="s">
        <v>35</v>
      </c>
      <c r="AB26" s="18" t="s">
        <v>100</v>
      </c>
      <c r="AC26" s="14" t="s">
        <v>38</v>
      </c>
      <c r="AD26" s="18" t="s">
        <v>37</v>
      </c>
      <c r="AE26" s="18">
        <v>55</v>
      </c>
      <c r="AF26" s="18">
        <v>1652</v>
      </c>
      <c r="AG26" s="14" t="s">
        <v>42</v>
      </c>
      <c r="AH26" s="14" t="s">
        <v>101</v>
      </c>
      <c r="AI26" s="20" t="s">
        <v>101</v>
      </c>
      <c r="AJ26" s="14">
        <v>6</v>
      </c>
      <c r="AK26" s="14" t="s">
        <v>37</v>
      </c>
      <c r="AL26" s="14" t="s">
        <v>37</v>
      </c>
      <c r="AM26" s="14" t="s">
        <v>37</v>
      </c>
      <c r="AN26" s="14" t="s">
        <v>37</v>
      </c>
      <c r="AO26" s="14">
        <v>22</v>
      </c>
      <c r="AP26" s="14">
        <v>200</v>
      </c>
      <c r="AQ26" s="14" t="s">
        <v>42</v>
      </c>
      <c r="AR26" s="14" t="s">
        <v>38</v>
      </c>
      <c r="AS26" s="34"/>
      <c r="AT26" s="34"/>
      <c r="AU26" s="14" t="s">
        <v>35</v>
      </c>
      <c r="AV26" s="14" t="s">
        <v>38</v>
      </c>
      <c r="AW26" s="14" t="s">
        <v>38</v>
      </c>
      <c r="AX26" s="29"/>
      <c r="AY26" s="29"/>
      <c r="AZ26" s="29" t="s">
        <v>100</v>
      </c>
      <c r="BA26" s="29" t="s">
        <v>100</v>
      </c>
      <c r="BB26" s="14" t="s">
        <v>37</v>
      </c>
      <c r="BC26" s="14" t="s">
        <v>100</v>
      </c>
      <c r="BD26" s="14" t="s">
        <v>100</v>
      </c>
      <c r="BE26" s="14" t="s">
        <v>37</v>
      </c>
      <c r="BF26" s="35" t="s">
        <v>37</v>
      </c>
      <c r="BG26" s="36">
        <f>T26/100*(31)*12.86</f>
        <v>154786.28302399997</v>
      </c>
      <c r="BH26" s="36">
        <f>T26/100*(69)*25.73</f>
        <v>689316.5185679999</v>
      </c>
      <c r="BI26" s="37">
        <f t="shared" si="0"/>
        <v>844102.801592</v>
      </c>
      <c r="BJ26" s="36"/>
      <c r="BK26" s="37">
        <f t="shared" si="3"/>
        <v>844102.801592</v>
      </c>
      <c r="BL26" s="38"/>
      <c r="BM26" s="38"/>
      <c r="BN26" s="37"/>
    </row>
    <row r="27" spans="1:66" s="17" customFormat="1" ht="75">
      <c r="A27" s="12" t="s">
        <v>102</v>
      </c>
      <c r="B27" s="2">
        <v>812</v>
      </c>
      <c r="C27" s="3" t="s">
        <v>33</v>
      </c>
      <c r="D27" s="10" t="s">
        <v>50</v>
      </c>
      <c r="E27" s="10"/>
      <c r="F27" s="11" t="s">
        <v>35</v>
      </c>
      <c r="G27" s="3" t="s">
        <v>36</v>
      </c>
      <c r="H27" s="14" t="s">
        <v>36</v>
      </c>
      <c r="I27" s="31" t="s">
        <v>466</v>
      </c>
      <c r="J27" s="31">
        <v>383</v>
      </c>
      <c r="K27" s="14" t="s">
        <v>471</v>
      </c>
      <c r="L27" s="18">
        <v>820</v>
      </c>
      <c r="M27" s="18">
        <v>882</v>
      </c>
      <c r="N27" s="18">
        <v>1188</v>
      </c>
      <c r="O27" s="18"/>
      <c r="P27" s="18">
        <v>1090</v>
      </c>
      <c r="Q27" s="18"/>
      <c r="R27" s="18">
        <v>1000</v>
      </c>
      <c r="S27" s="32"/>
      <c r="T27" s="18">
        <f>R27/100*77</f>
        <v>770</v>
      </c>
      <c r="U27" s="14" t="s">
        <v>42</v>
      </c>
      <c r="V27" s="18">
        <v>923</v>
      </c>
      <c r="W27" s="14" t="s">
        <v>40</v>
      </c>
      <c r="X27" s="18">
        <v>100</v>
      </c>
      <c r="Y27" s="14" t="s">
        <v>42</v>
      </c>
      <c r="Z27" s="33" t="s">
        <v>103</v>
      </c>
      <c r="AA27" s="14" t="s">
        <v>35</v>
      </c>
      <c r="AB27" s="18" t="s">
        <v>104</v>
      </c>
      <c r="AC27" s="14" t="s">
        <v>35</v>
      </c>
      <c r="AD27" s="18" t="s">
        <v>105</v>
      </c>
      <c r="AE27" s="18">
        <v>1</v>
      </c>
      <c r="AF27" s="18">
        <v>8</v>
      </c>
      <c r="AG27" s="14" t="s">
        <v>40</v>
      </c>
      <c r="AH27" s="14">
        <v>1</v>
      </c>
      <c r="AI27" s="20">
        <v>20</v>
      </c>
      <c r="AJ27" s="14">
        <v>2</v>
      </c>
      <c r="AK27" s="14" t="s">
        <v>40</v>
      </c>
      <c r="AL27" s="14">
        <v>0</v>
      </c>
      <c r="AM27" s="14">
        <v>0</v>
      </c>
      <c r="AN27" s="14" t="s">
        <v>40</v>
      </c>
      <c r="AO27" s="14">
        <v>6</v>
      </c>
      <c r="AP27" s="14">
        <v>95</v>
      </c>
      <c r="AQ27" s="14" t="s">
        <v>42</v>
      </c>
      <c r="AR27" s="14" t="s">
        <v>35</v>
      </c>
      <c r="AS27" s="34">
        <v>1</v>
      </c>
      <c r="AT27" s="34" t="s">
        <v>53</v>
      </c>
      <c r="AU27" s="14" t="s">
        <v>35</v>
      </c>
      <c r="AV27" s="14" t="s">
        <v>38</v>
      </c>
      <c r="AW27" s="14" t="s">
        <v>38</v>
      </c>
      <c r="AX27" s="29"/>
      <c r="AY27" s="29"/>
      <c r="AZ27" s="29">
        <v>50</v>
      </c>
      <c r="BA27" s="29">
        <v>1620</v>
      </c>
      <c r="BB27" s="14" t="s">
        <v>42</v>
      </c>
      <c r="BC27" s="14">
        <v>0</v>
      </c>
      <c r="BD27" s="14">
        <v>0</v>
      </c>
      <c r="BE27" s="14" t="s">
        <v>40</v>
      </c>
      <c r="BF27" s="35" t="s">
        <v>106</v>
      </c>
      <c r="BG27" s="36">
        <f>T27/100*(47)*12.86</f>
        <v>4654.034000000001</v>
      </c>
      <c r="BH27" s="36">
        <f>T27/100*(53)*25.73</f>
        <v>10500.413</v>
      </c>
      <c r="BI27" s="37">
        <f t="shared" si="0"/>
        <v>15154.447</v>
      </c>
      <c r="BJ27" s="36">
        <v>3267</v>
      </c>
      <c r="BK27" s="37">
        <f t="shared" si="3"/>
        <v>18421.447</v>
      </c>
      <c r="BL27" s="38">
        <v>0</v>
      </c>
      <c r="BM27" s="38">
        <f t="shared" si="1"/>
        <v>0</v>
      </c>
      <c r="BN27" s="37">
        <v>11571.42857142857</v>
      </c>
    </row>
    <row r="28" spans="1:66" s="17" customFormat="1" ht="30">
      <c r="A28" s="3" t="s">
        <v>107</v>
      </c>
      <c r="B28" s="2">
        <v>677</v>
      </c>
      <c r="C28" s="3" t="s">
        <v>33</v>
      </c>
      <c r="D28" s="3" t="s">
        <v>61</v>
      </c>
      <c r="E28" s="3" t="s">
        <v>100</v>
      </c>
      <c r="F28" s="11" t="s">
        <v>35</v>
      </c>
      <c r="G28" s="3" t="s">
        <v>67</v>
      </c>
      <c r="H28" s="14" t="s">
        <v>37</v>
      </c>
      <c r="I28" s="31" t="s">
        <v>465</v>
      </c>
      <c r="J28" s="31">
        <v>2466</v>
      </c>
      <c r="K28" s="14" t="s">
        <v>473</v>
      </c>
      <c r="L28" s="18">
        <v>108996</v>
      </c>
      <c r="M28" s="18">
        <v>88337</v>
      </c>
      <c r="N28" s="18">
        <v>89383</v>
      </c>
      <c r="O28" s="18">
        <v>88296</v>
      </c>
      <c r="P28" s="18">
        <v>77277</v>
      </c>
      <c r="Q28" s="18">
        <v>4287</v>
      </c>
      <c r="R28" s="18">
        <v>73747</v>
      </c>
      <c r="S28" s="32">
        <f>(R28-Q28)/R28</f>
        <v>0.941868821782581</v>
      </c>
      <c r="T28" s="18">
        <f>R28/100*68</f>
        <v>50147.96</v>
      </c>
      <c r="U28" s="14" t="s">
        <v>40</v>
      </c>
      <c r="V28" s="18">
        <v>54122</v>
      </c>
      <c r="W28" s="14" t="s">
        <v>40</v>
      </c>
      <c r="X28" s="18">
        <v>54122</v>
      </c>
      <c r="Y28" s="14" t="s">
        <v>40</v>
      </c>
      <c r="Z28" s="33" t="s">
        <v>38</v>
      </c>
      <c r="AA28" s="14" t="s">
        <v>35</v>
      </c>
      <c r="AB28" s="18">
        <v>113063</v>
      </c>
      <c r="AC28" s="14" t="s">
        <v>35</v>
      </c>
      <c r="AD28" s="18">
        <v>4541</v>
      </c>
      <c r="AE28" s="18">
        <v>687</v>
      </c>
      <c r="AF28" s="18">
        <v>20600</v>
      </c>
      <c r="AG28" s="14" t="s">
        <v>42</v>
      </c>
      <c r="AH28" s="14">
        <v>27</v>
      </c>
      <c r="AI28" s="20">
        <v>800</v>
      </c>
      <c r="AJ28" s="14">
        <v>23</v>
      </c>
      <c r="AK28" s="14" t="s">
        <v>42</v>
      </c>
      <c r="AL28" s="14" t="s">
        <v>37</v>
      </c>
      <c r="AM28" s="14" t="s">
        <v>37</v>
      </c>
      <c r="AN28" s="14" t="s">
        <v>37</v>
      </c>
      <c r="AO28" s="14" t="s">
        <v>37</v>
      </c>
      <c r="AP28" s="14" t="s">
        <v>37</v>
      </c>
      <c r="AQ28" s="14" t="s">
        <v>37</v>
      </c>
      <c r="AR28" s="14" t="s">
        <v>35</v>
      </c>
      <c r="AS28" s="34">
        <v>7.6</v>
      </c>
      <c r="AT28" s="34">
        <v>4.75</v>
      </c>
      <c r="AU28" s="14" t="s">
        <v>35</v>
      </c>
      <c r="AV28" s="14" t="s">
        <v>38</v>
      </c>
      <c r="AW28" s="14" t="s">
        <v>38</v>
      </c>
      <c r="AX28" s="29"/>
      <c r="AY28" s="29"/>
      <c r="AZ28" s="29" t="s">
        <v>100</v>
      </c>
      <c r="BA28" s="29" t="s">
        <v>100</v>
      </c>
      <c r="BB28" s="14" t="s">
        <v>37</v>
      </c>
      <c r="BC28" s="14" t="s">
        <v>100</v>
      </c>
      <c r="BD28" s="14" t="s">
        <v>100</v>
      </c>
      <c r="BE28" s="14" t="s">
        <v>37</v>
      </c>
      <c r="BF28" s="35" t="s">
        <v>37</v>
      </c>
      <c r="BG28" s="36">
        <f>T28/100*(31)*12.91</f>
        <v>200697.150716</v>
      </c>
      <c r="BH28" s="36">
        <f>T28/100*(69)*25.82</f>
        <v>893426.025768</v>
      </c>
      <c r="BI28" s="37">
        <f t="shared" si="0"/>
        <v>1094123.176484</v>
      </c>
      <c r="BJ28" s="36"/>
      <c r="BK28" s="37">
        <f t="shared" si="3"/>
        <v>1094123.176484</v>
      </c>
      <c r="BL28" s="38"/>
      <c r="BM28" s="38"/>
      <c r="BN28" s="37"/>
    </row>
    <row r="29" spans="1:66" s="17" customFormat="1" ht="93" customHeight="1">
      <c r="A29" s="3" t="s">
        <v>108</v>
      </c>
      <c r="B29" s="2">
        <v>2158</v>
      </c>
      <c r="C29" s="3" t="s">
        <v>33</v>
      </c>
      <c r="D29" s="3" t="s">
        <v>61</v>
      </c>
      <c r="E29" s="3"/>
      <c r="F29" s="11"/>
      <c r="G29" s="3" t="s">
        <v>36</v>
      </c>
      <c r="H29" s="14"/>
      <c r="I29" s="39"/>
      <c r="J29" s="39"/>
      <c r="K29" s="14"/>
      <c r="L29" s="18"/>
      <c r="M29" s="18"/>
      <c r="N29" s="18">
        <v>8000</v>
      </c>
      <c r="O29" s="18">
        <v>9000</v>
      </c>
      <c r="P29" s="18">
        <v>7500</v>
      </c>
      <c r="Q29" s="18">
        <v>9000</v>
      </c>
      <c r="R29" s="18"/>
      <c r="S29" s="32"/>
      <c r="T29" s="18"/>
      <c r="U29" s="14"/>
      <c r="V29" s="18"/>
      <c r="W29" s="14"/>
      <c r="X29" s="18"/>
      <c r="Y29" s="14"/>
      <c r="Z29" s="33"/>
      <c r="AA29" s="14" t="s">
        <v>35</v>
      </c>
      <c r="AB29" s="18"/>
      <c r="AC29" s="14"/>
      <c r="AD29" s="18"/>
      <c r="AE29" s="18"/>
      <c r="AF29" s="18"/>
      <c r="AG29" s="14"/>
      <c r="AH29" s="14"/>
      <c r="AI29" s="20"/>
      <c r="AJ29" s="14"/>
      <c r="AK29" s="14"/>
      <c r="AL29" s="14"/>
      <c r="AM29" s="14"/>
      <c r="AN29" s="14"/>
      <c r="AO29" s="14"/>
      <c r="AP29" s="14"/>
      <c r="AQ29" s="14"/>
      <c r="AR29" s="14" t="s">
        <v>35</v>
      </c>
      <c r="AS29" s="34">
        <v>5.75</v>
      </c>
      <c r="AT29" s="34">
        <v>4</v>
      </c>
      <c r="AU29" s="14" t="s">
        <v>35</v>
      </c>
      <c r="AV29" s="14"/>
      <c r="AW29" s="14"/>
      <c r="AX29" s="29">
        <v>6</v>
      </c>
      <c r="AY29" s="29">
        <v>1500</v>
      </c>
      <c r="AZ29" s="29"/>
      <c r="BA29" s="29"/>
      <c r="BB29" s="14"/>
      <c r="BC29" s="14"/>
      <c r="BD29" s="14"/>
      <c r="BE29" s="14"/>
      <c r="BF29" s="35"/>
      <c r="BG29" s="36"/>
      <c r="BH29" s="36"/>
      <c r="BI29" s="37"/>
      <c r="BJ29" s="36"/>
      <c r="BK29" s="37"/>
      <c r="BL29" s="38"/>
      <c r="BM29" s="38">
        <f t="shared" si="1"/>
        <v>0</v>
      </c>
      <c r="BN29" s="37"/>
    </row>
    <row r="30" spans="1:66" s="17" customFormat="1" ht="45">
      <c r="A30" s="12" t="s">
        <v>110</v>
      </c>
      <c r="B30" s="2">
        <v>744</v>
      </c>
      <c r="C30" s="3" t="s">
        <v>33</v>
      </c>
      <c r="D30" s="10" t="s">
        <v>34</v>
      </c>
      <c r="E30" s="10" t="s">
        <v>109</v>
      </c>
      <c r="F30" s="11" t="s">
        <v>35</v>
      </c>
      <c r="G30" s="3" t="s">
        <v>67</v>
      </c>
      <c r="H30" s="8" t="s">
        <v>67</v>
      </c>
      <c r="I30" s="31" t="s">
        <v>466</v>
      </c>
      <c r="J30" s="31" t="s">
        <v>429</v>
      </c>
      <c r="K30" s="8" t="s">
        <v>472</v>
      </c>
      <c r="L30" s="18">
        <v>18213</v>
      </c>
      <c r="M30" s="18">
        <v>14602</v>
      </c>
      <c r="N30" s="18">
        <v>25329</v>
      </c>
      <c r="O30" s="18">
        <v>22233</v>
      </c>
      <c r="P30" s="18">
        <v>19470</v>
      </c>
      <c r="Q30" s="18">
        <v>18280</v>
      </c>
      <c r="R30" s="18">
        <v>14750</v>
      </c>
      <c r="S30" s="32">
        <f>(R30-Q30)/R30</f>
        <v>-0.2393220338983051</v>
      </c>
      <c r="T30" s="18">
        <f>R30/100*73</f>
        <v>10767.5</v>
      </c>
      <c r="U30" s="8" t="s">
        <v>40</v>
      </c>
      <c r="V30" s="18">
        <v>11238</v>
      </c>
      <c r="W30" s="8" t="s">
        <v>40</v>
      </c>
      <c r="X30" s="18">
        <v>3512</v>
      </c>
      <c r="Y30" s="8" t="s">
        <v>40</v>
      </c>
      <c r="Z30" s="41" t="s">
        <v>38</v>
      </c>
      <c r="AA30" s="8" t="s">
        <v>35</v>
      </c>
      <c r="AB30" s="18" t="s">
        <v>37</v>
      </c>
      <c r="AC30" s="8" t="s">
        <v>35</v>
      </c>
      <c r="AD30" s="18">
        <v>3261</v>
      </c>
      <c r="AE30" s="18">
        <v>39</v>
      </c>
      <c r="AF30" s="18">
        <v>1972</v>
      </c>
      <c r="AG30" s="45" t="s">
        <v>40</v>
      </c>
      <c r="AH30" s="8">
        <v>1</v>
      </c>
      <c r="AI30" s="42">
        <v>28</v>
      </c>
      <c r="AJ30" s="8">
        <v>29</v>
      </c>
      <c r="AK30" s="8" t="s">
        <v>40</v>
      </c>
      <c r="AL30" s="8">
        <v>77</v>
      </c>
      <c r="AM30" s="8">
        <v>1897</v>
      </c>
      <c r="AN30" s="8" t="s">
        <v>40</v>
      </c>
      <c r="AO30" s="8">
        <v>13</v>
      </c>
      <c r="AP30" s="8">
        <v>186</v>
      </c>
      <c r="AQ30" s="8" t="s">
        <v>40</v>
      </c>
      <c r="AR30" s="8" t="s">
        <v>35</v>
      </c>
      <c r="AS30" s="34">
        <v>4</v>
      </c>
      <c r="AT30" s="34">
        <v>3.2</v>
      </c>
      <c r="AU30" s="8" t="s">
        <v>35</v>
      </c>
      <c r="AV30" s="8" t="s">
        <v>38</v>
      </c>
      <c r="AW30" s="8" t="s">
        <v>38</v>
      </c>
      <c r="AX30" s="29"/>
      <c r="AY30" s="29"/>
      <c r="AZ30" s="29" t="s">
        <v>424</v>
      </c>
      <c r="BA30" s="29" t="s">
        <v>424</v>
      </c>
      <c r="BB30" s="45" t="s">
        <v>37</v>
      </c>
      <c r="BC30" s="45" t="s">
        <v>424</v>
      </c>
      <c r="BD30" s="45" t="s">
        <v>424</v>
      </c>
      <c r="BE30" s="45" t="s">
        <v>37</v>
      </c>
      <c r="BF30" s="46" t="s">
        <v>430</v>
      </c>
      <c r="BG30" s="36">
        <f>T30/100*(44)*14.08</f>
        <v>66706.81599999999</v>
      </c>
      <c r="BH30" s="36">
        <f>T30/100*(56)*28.16</f>
        <v>169799.168</v>
      </c>
      <c r="BI30" s="37">
        <f t="shared" si="0"/>
        <v>236505.984</v>
      </c>
      <c r="BJ30" s="36"/>
      <c r="BK30" s="37">
        <f>BJ30+BI30</f>
        <v>236505.984</v>
      </c>
      <c r="BL30" s="44"/>
      <c r="BM30" s="38"/>
      <c r="BN30" s="37"/>
    </row>
    <row r="31" spans="1:66" s="17" customFormat="1" ht="45">
      <c r="A31" s="12" t="s">
        <v>111</v>
      </c>
      <c r="B31" s="2">
        <v>669</v>
      </c>
      <c r="C31" s="3" t="s">
        <v>60</v>
      </c>
      <c r="D31" s="16" t="s">
        <v>44</v>
      </c>
      <c r="E31" s="16"/>
      <c r="F31" s="11" t="s">
        <v>35</v>
      </c>
      <c r="G31" s="3" t="s">
        <v>67</v>
      </c>
      <c r="H31" s="14" t="s">
        <v>36</v>
      </c>
      <c r="I31" s="31" t="s">
        <v>465</v>
      </c>
      <c r="J31" s="31" t="s">
        <v>112</v>
      </c>
      <c r="K31" s="14" t="s">
        <v>46</v>
      </c>
      <c r="L31" s="18">
        <v>12470</v>
      </c>
      <c r="M31" s="18">
        <v>10903</v>
      </c>
      <c r="N31" s="18">
        <v>9777</v>
      </c>
      <c r="O31" s="18">
        <v>11555</v>
      </c>
      <c r="P31" s="18">
        <v>10263</v>
      </c>
      <c r="Q31" s="18"/>
      <c r="R31" s="18" t="s">
        <v>46</v>
      </c>
      <c r="S31" s="32"/>
      <c r="T31" s="18"/>
      <c r="U31" s="14" t="s">
        <v>37</v>
      </c>
      <c r="V31" s="18" t="s">
        <v>37</v>
      </c>
      <c r="W31" s="14" t="s">
        <v>37</v>
      </c>
      <c r="X31" s="18" t="s">
        <v>37</v>
      </c>
      <c r="Y31" s="14" t="s">
        <v>37</v>
      </c>
      <c r="Z31" s="33" t="s">
        <v>37</v>
      </c>
      <c r="AA31" s="14" t="s">
        <v>35</v>
      </c>
      <c r="AB31" s="18" t="s">
        <v>37</v>
      </c>
      <c r="AC31" s="14" t="s">
        <v>38</v>
      </c>
      <c r="AD31" s="18" t="s">
        <v>37</v>
      </c>
      <c r="AE31" s="18">
        <v>9</v>
      </c>
      <c r="AF31" s="18">
        <v>334</v>
      </c>
      <c r="AG31" s="14" t="s">
        <v>40</v>
      </c>
      <c r="AH31" s="14">
        <v>1</v>
      </c>
      <c r="AI31" s="20">
        <v>50</v>
      </c>
      <c r="AJ31" s="14">
        <v>21</v>
      </c>
      <c r="AK31" s="14" t="s">
        <v>42</v>
      </c>
      <c r="AL31" s="14">
        <v>9</v>
      </c>
      <c r="AM31" s="14">
        <v>101</v>
      </c>
      <c r="AN31" s="14" t="s">
        <v>42</v>
      </c>
      <c r="AO31" s="14">
        <v>2</v>
      </c>
      <c r="AP31" s="14">
        <v>100</v>
      </c>
      <c r="AQ31" s="14" t="s">
        <v>42</v>
      </c>
      <c r="AR31" s="14" t="s">
        <v>38</v>
      </c>
      <c r="AS31" s="34"/>
      <c r="AT31" s="34"/>
      <c r="AU31" s="14" t="s">
        <v>35</v>
      </c>
      <c r="AV31" s="14" t="s">
        <v>38</v>
      </c>
      <c r="AW31" s="14" t="s">
        <v>38</v>
      </c>
      <c r="AX31" s="29"/>
      <c r="AY31" s="29"/>
      <c r="AZ31" s="29">
        <v>37</v>
      </c>
      <c r="BA31" s="29">
        <v>20</v>
      </c>
      <c r="BB31" s="14" t="s">
        <v>42</v>
      </c>
      <c r="BC31" s="14">
        <v>1</v>
      </c>
      <c r="BD31" s="14" t="s">
        <v>236</v>
      </c>
      <c r="BE31" s="14" t="s">
        <v>40</v>
      </c>
      <c r="BF31" s="35" t="s">
        <v>37</v>
      </c>
      <c r="BG31" s="36">
        <f>T31/100*(47)*17.99</f>
        <v>0</v>
      </c>
      <c r="BH31" s="36">
        <f>T31/100*(53)*35.98</f>
        <v>0</v>
      </c>
      <c r="BI31" s="37"/>
      <c r="BJ31" s="36"/>
      <c r="BK31" s="37"/>
      <c r="BL31" s="38"/>
      <c r="BM31" s="38"/>
      <c r="BN31" s="37">
        <v>142.85714285714286</v>
      </c>
    </row>
    <row r="32" spans="1:66" s="17" customFormat="1" ht="255">
      <c r="A32" s="12" t="s">
        <v>113</v>
      </c>
      <c r="B32" s="2">
        <v>1594</v>
      </c>
      <c r="C32" s="3" t="s">
        <v>33</v>
      </c>
      <c r="D32" s="3" t="s">
        <v>57</v>
      </c>
      <c r="E32" s="3"/>
      <c r="F32" s="11" t="s">
        <v>35</v>
      </c>
      <c r="G32" s="3" t="s">
        <v>36</v>
      </c>
      <c r="H32" s="14" t="s">
        <v>37</v>
      </c>
      <c r="I32" s="47" t="s">
        <v>468</v>
      </c>
      <c r="J32" s="47" t="s">
        <v>41</v>
      </c>
      <c r="K32" s="14" t="s">
        <v>471</v>
      </c>
      <c r="L32" s="18"/>
      <c r="M32" s="18"/>
      <c r="N32" s="18">
        <v>778</v>
      </c>
      <c r="O32" s="18">
        <v>548</v>
      </c>
      <c r="P32" s="18">
        <v>940</v>
      </c>
      <c r="Q32" s="18">
        <v>5941</v>
      </c>
      <c r="R32" s="18">
        <v>1136</v>
      </c>
      <c r="S32" s="32">
        <f>(R32-Q32)/R32</f>
        <v>-4.229753521126761</v>
      </c>
      <c r="T32" s="18">
        <f>R32/100*77</f>
        <v>874.7199999999999</v>
      </c>
      <c r="U32" s="14" t="s">
        <v>40</v>
      </c>
      <c r="V32" s="18">
        <v>560</v>
      </c>
      <c r="W32" s="14" t="s">
        <v>40</v>
      </c>
      <c r="X32" s="18">
        <v>575</v>
      </c>
      <c r="Y32" s="14" t="s">
        <v>40</v>
      </c>
      <c r="Z32" s="33" t="s">
        <v>41</v>
      </c>
      <c r="AA32" s="14" t="s">
        <v>35</v>
      </c>
      <c r="AB32" s="18">
        <v>14916</v>
      </c>
      <c r="AC32" s="14" t="s">
        <v>35</v>
      </c>
      <c r="AD32" s="18">
        <v>558</v>
      </c>
      <c r="AE32" s="18">
        <v>3</v>
      </c>
      <c r="AF32" s="18">
        <v>30</v>
      </c>
      <c r="AG32" s="14" t="s">
        <v>40</v>
      </c>
      <c r="AH32" s="14">
        <v>21</v>
      </c>
      <c r="AI32" s="20">
        <v>575</v>
      </c>
      <c r="AJ32" s="14">
        <v>19</v>
      </c>
      <c r="AK32" s="14" t="s">
        <v>40</v>
      </c>
      <c r="AL32" s="14">
        <v>7</v>
      </c>
      <c r="AM32" s="14">
        <v>51</v>
      </c>
      <c r="AN32" s="14" t="s">
        <v>40</v>
      </c>
      <c r="AO32" s="14">
        <v>21</v>
      </c>
      <c r="AP32" s="14">
        <v>575</v>
      </c>
      <c r="AQ32" s="14" t="s">
        <v>40</v>
      </c>
      <c r="AR32" s="14" t="s">
        <v>35</v>
      </c>
      <c r="AS32" s="34">
        <v>3</v>
      </c>
      <c r="AT32" s="34">
        <v>3</v>
      </c>
      <c r="AU32" s="14" t="s">
        <v>38</v>
      </c>
      <c r="AV32" s="14" t="s">
        <v>38</v>
      </c>
      <c r="AW32" s="14" t="s">
        <v>38</v>
      </c>
      <c r="AX32" s="29">
        <v>28</v>
      </c>
      <c r="AY32" s="29">
        <v>6449</v>
      </c>
      <c r="AZ32" s="29">
        <v>23</v>
      </c>
      <c r="BA32" s="29">
        <v>2079.25</v>
      </c>
      <c r="BB32" s="14" t="s">
        <v>40</v>
      </c>
      <c r="BC32" s="14">
        <v>4</v>
      </c>
      <c r="BD32" s="14">
        <v>1</v>
      </c>
      <c r="BE32" s="14" t="s">
        <v>40</v>
      </c>
      <c r="BF32" s="35" t="s">
        <v>114</v>
      </c>
      <c r="BG32" s="36">
        <f>T32/100*(47)*11.29</f>
        <v>4641.526735999999</v>
      </c>
      <c r="BH32" s="36">
        <f>T32/100*(53)*22.59</f>
        <v>10472.760144</v>
      </c>
      <c r="BI32" s="37">
        <f t="shared" si="0"/>
        <v>15114.28688</v>
      </c>
      <c r="BJ32" s="36">
        <v>14930.04</v>
      </c>
      <c r="BK32" s="37">
        <f aca="true" t="shared" si="4" ref="BK32:BK42">BJ32+BI32</f>
        <v>30044.32688</v>
      </c>
      <c r="BL32" s="38">
        <v>0.53325</v>
      </c>
      <c r="BM32" s="38">
        <f t="shared" si="1"/>
        <v>1.53325</v>
      </c>
      <c r="BN32" s="37">
        <v>14851.785714285714</v>
      </c>
    </row>
    <row r="33" spans="1:66" s="17" customFormat="1" ht="105">
      <c r="A33" s="12" t="s">
        <v>115</v>
      </c>
      <c r="B33" s="2">
        <v>2201</v>
      </c>
      <c r="C33" s="3" t="s">
        <v>33</v>
      </c>
      <c r="D33" s="3" t="s">
        <v>57</v>
      </c>
      <c r="E33" s="3"/>
      <c r="F33" s="11" t="s">
        <v>35</v>
      </c>
      <c r="G33" s="3" t="s">
        <v>36</v>
      </c>
      <c r="H33" s="14" t="s">
        <v>37</v>
      </c>
      <c r="I33" s="31" t="s">
        <v>467</v>
      </c>
      <c r="J33" s="31" t="s">
        <v>41</v>
      </c>
      <c r="K33" s="14" t="s">
        <v>472</v>
      </c>
      <c r="L33" s="18">
        <v>6888</v>
      </c>
      <c r="M33" s="18">
        <v>7532</v>
      </c>
      <c r="N33" s="18">
        <v>11538</v>
      </c>
      <c r="O33" s="18">
        <v>7982</v>
      </c>
      <c r="P33" s="18">
        <v>7621</v>
      </c>
      <c r="Q33" s="18">
        <v>10109</v>
      </c>
      <c r="R33" s="18">
        <v>12300</v>
      </c>
      <c r="S33" s="32"/>
      <c r="T33" s="18">
        <f>R33/100*73</f>
        <v>8979</v>
      </c>
      <c r="U33" s="14" t="s">
        <v>42</v>
      </c>
      <c r="V33" s="18">
        <v>9800</v>
      </c>
      <c r="W33" s="14" t="s">
        <v>42</v>
      </c>
      <c r="X33" s="18">
        <v>2500</v>
      </c>
      <c r="Y33" s="14" t="s">
        <v>42</v>
      </c>
      <c r="Z33" s="33" t="s">
        <v>116</v>
      </c>
      <c r="AA33" s="14" t="s">
        <v>35</v>
      </c>
      <c r="AB33" s="18">
        <v>78000</v>
      </c>
      <c r="AC33" s="14" t="s">
        <v>35</v>
      </c>
      <c r="AD33" s="18" t="s">
        <v>41</v>
      </c>
      <c r="AE33" s="18">
        <v>2</v>
      </c>
      <c r="AF33" s="18">
        <v>60</v>
      </c>
      <c r="AG33" s="14" t="s">
        <v>42</v>
      </c>
      <c r="AH33" s="14">
        <v>0</v>
      </c>
      <c r="AI33" s="20">
        <v>0</v>
      </c>
      <c r="AJ33" s="14">
        <v>2</v>
      </c>
      <c r="AK33" s="14" t="s">
        <v>42</v>
      </c>
      <c r="AL33" s="14">
        <v>4</v>
      </c>
      <c r="AM33" s="14">
        <v>50</v>
      </c>
      <c r="AN33" s="14" t="s">
        <v>42</v>
      </c>
      <c r="AO33" s="14">
        <v>20</v>
      </c>
      <c r="AP33" s="14">
        <v>400</v>
      </c>
      <c r="AQ33" s="14" t="s">
        <v>42</v>
      </c>
      <c r="AR33" s="14" t="s">
        <v>35</v>
      </c>
      <c r="AS33" s="34">
        <v>10</v>
      </c>
      <c r="AT33" s="34">
        <v>6</v>
      </c>
      <c r="AU33" s="14" t="s">
        <v>35</v>
      </c>
      <c r="AV33" s="14" t="s">
        <v>35</v>
      </c>
      <c r="AW33" s="14" t="s">
        <v>38</v>
      </c>
      <c r="AX33" s="29"/>
      <c r="AY33" s="29"/>
      <c r="AZ33" s="29">
        <v>80</v>
      </c>
      <c r="BA33" s="29">
        <v>40000</v>
      </c>
      <c r="BB33" s="14" t="s">
        <v>42</v>
      </c>
      <c r="BC33" s="14">
        <v>0</v>
      </c>
      <c r="BD33" s="14">
        <v>0</v>
      </c>
      <c r="BE33" s="14" t="s">
        <v>42</v>
      </c>
      <c r="BF33" s="35" t="s">
        <v>117</v>
      </c>
      <c r="BG33" s="36">
        <f>T33/100*(44)*11.29</f>
        <v>44604.0804</v>
      </c>
      <c r="BH33" s="36">
        <f>T33/100*(56)*22.59</f>
        <v>113587.94160000002</v>
      </c>
      <c r="BI33" s="37">
        <f t="shared" si="0"/>
        <v>158192.02200000003</v>
      </c>
      <c r="BJ33" s="36">
        <v>148000</v>
      </c>
      <c r="BK33" s="37">
        <f t="shared" si="4"/>
        <v>306192.022</v>
      </c>
      <c r="BL33" s="38">
        <v>0</v>
      </c>
      <c r="BM33" s="38">
        <f t="shared" si="1"/>
        <v>0</v>
      </c>
      <c r="BN33" s="37">
        <v>285714.28571428574</v>
      </c>
    </row>
    <row r="34" spans="1:66" s="17" customFormat="1" ht="45">
      <c r="A34" s="12" t="s">
        <v>118</v>
      </c>
      <c r="B34" s="2">
        <v>1448</v>
      </c>
      <c r="C34" s="3" t="s">
        <v>33</v>
      </c>
      <c r="D34" s="10" t="s">
        <v>34</v>
      </c>
      <c r="E34" s="10"/>
      <c r="F34" s="11" t="s">
        <v>35</v>
      </c>
      <c r="G34" s="3" t="s">
        <v>36</v>
      </c>
      <c r="H34" s="14" t="s">
        <v>36</v>
      </c>
      <c r="I34" s="31" t="s">
        <v>466</v>
      </c>
      <c r="J34" s="31">
        <v>488</v>
      </c>
      <c r="K34" s="14" t="s">
        <v>471</v>
      </c>
      <c r="L34" s="18">
        <v>4528</v>
      </c>
      <c r="M34" s="18">
        <v>4594</v>
      </c>
      <c r="N34" s="18">
        <v>5000</v>
      </c>
      <c r="O34" s="18">
        <v>4069</v>
      </c>
      <c r="P34" s="18">
        <v>2681</v>
      </c>
      <c r="Q34" s="18">
        <v>3561</v>
      </c>
      <c r="R34" s="18">
        <v>3695</v>
      </c>
      <c r="S34" s="32">
        <f>(R34-Q34)/R34</f>
        <v>0.036265223274695536</v>
      </c>
      <c r="T34" s="18">
        <f>R34/100*77</f>
        <v>2845.15</v>
      </c>
      <c r="U34" s="14" t="s">
        <v>42</v>
      </c>
      <c r="V34" s="18">
        <v>3000</v>
      </c>
      <c r="W34" s="14" t="s">
        <v>42</v>
      </c>
      <c r="X34" s="18">
        <v>695</v>
      </c>
      <c r="Y34" s="14" t="s">
        <v>42</v>
      </c>
      <c r="Z34" s="33" t="s">
        <v>37</v>
      </c>
      <c r="AA34" s="14" t="s">
        <v>35</v>
      </c>
      <c r="AB34" s="18" t="s">
        <v>119</v>
      </c>
      <c r="AC34" s="14" t="s">
        <v>35</v>
      </c>
      <c r="AD34" s="18" t="s">
        <v>119</v>
      </c>
      <c r="AE34" s="18">
        <v>0</v>
      </c>
      <c r="AF34" s="18">
        <v>0</v>
      </c>
      <c r="AG34" s="14" t="s">
        <v>40</v>
      </c>
      <c r="AH34" s="14">
        <v>0</v>
      </c>
      <c r="AI34" s="20">
        <v>0</v>
      </c>
      <c r="AJ34" s="14">
        <v>0</v>
      </c>
      <c r="AK34" s="14" t="s">
        <v>40</v>
      </c>
      <c r="AL34" s="14">
        <v>0</v>
      </c>
      <c r="AM34" s="14">
        <v>0</v>
      </c>
      <c r="AN34" s="14" t="s">
        <v>40</v>
      </c>
      <c r="AO34" s="14">
        <v>10</v>
      </c>
      <c r="AP34" s="14">
        <v>250</v>
      </c>
      <c r="AQ34" s="14" t="s">
        <v>42</v>
      </c>
      <c r="AR34" s="14" t="s">
        <v>38</v>
      </c>
      <c r="AS34" s="34"/>
      <c r="AT34" s="34"/>
      <c r="AU34" s="14" t="s">
        <v>35</v>
      </c>
      <c r="AV34" s="14" t="s">
        <v>38</v>
      </c>
      <c r="AW34" s="14" t="s">
        <v>38</v>
      </c>
      <c r="AX34" s="29">
        <v>34</v>
      </c>
      <c r="AY34" s="29"/>
      <c r="AZ34" s="29">
        <v>120</v>
      </c>
      <c r="BA34" s="29">
        <v>500</v>
      </c>
      <c r="BB34" s="14" t="s">
        <v>42</v>
      </c>
      <c r="BC34" s="14">
        <v>1</v>
      </c>
      <c r="BD34" s="14" t="s">
        <v>236</v>
      </c>
      <c r="BE34" s="14" t="s">
        <v>40</v>
      </c>
      <c r="BF34" s="35" t="s">
        <v>37</v>
      </c>
      <c r="BG34" s="36">
        <f>T34/100*(47)*14.08</f>
        <v>18828.06464</v>
      </c>
      <c r="BH34" s="36">
        <f>T34/100*(53)*28.16</f>
        <v>42463.29472</v>
      </c>
      <c r="BI34" s="37">
        <f t="shared" si="0"/>
        <v>61291.35936</v>
      </c>
      <c r="BJ34" s="36">
        <v>11254</v>
      </c>
      <c r="BK34" s="37">
        <f t="shared" si="4"/>
        <v>72545.35936</v>
      </c>
      <c r="BL34" s="38"/>
      <c r="BM34" s="38" t="e">
        <f t="shared" si="1"/>
        <v>#VALUE!</v>
      </c>
      <c r="BN34" s="37">
        <v>3571.4285714285716</v>
      </c>
    </row>
    <row r="35" spans="1:66" s="17" customFormat="1" ht="45">
      <c r="A35" s="12" t="s">
        <v>120</v>
      </c>
      <c r="B35" s="2">
        <v>592</v>
      </c>
      <c r="C35" s="3" t="s">
        <v>33</v>
      </c>
      <c r="D35" s="10" t="s">
        <v>50</v>
      </c>
      <c r="E35" s="10"/>
      <c r="F35" s="11" t="s">
        <v>35</v>
      </c>
      <c r="G35" s="3" t="s">
        <v>36</v>
      </c>
      <c r="H35" s="14" t="s">
        <v>36</v>
      </c>
      <c r="I35" s="31" t="s">
        <v>466</v>
      </c>
      <c r="J35" s="31">
        <v>1122</v>
      </c>
      <c r="K35" s="14" t="s">
        <v>472</v>
      </c>
      <c r="L35" s="18">
        <v>21131</v>
      </c>
      <c r="M35" s="18">
        <v>19813</v>
      </c>
      <c r="N35" s="18">
        <v>19813</v>
      </c>
      <c r="O35" s="18">
        <v>20012</v>
      </c>
      <c r="P35" s="18">
        <v>22000</v>
      </c>
      <c r="Q35" s="18">
        <v>19000</v>
      </c>
      <c r="R35" s="18">
        <v>18213</v>
      </c>
      <c r="S35" s="32">
        <f>(R35-Q35)/R35</f>
        <v>-0.0432108933179597</v>
      </c>
      <c r="T35" s="18">
        <f>R35/100*73</f>
        <v>13295.49</v>
      </c>
      <c r="U35" s="14" t="s">
        <v>40</v>
      </c>
      <c r="V35" s="18">
        <v>15108</v>
      </c>
      <c r="W35" s="14" t="s">
        <v>40</v>
      </c>
      <c r="X35" s="18">
        <v>3105</v>
      </c>
      <c r="Y35" s="14" t="s">
        <v>40</v>
      </c>
      <c r="Z35" s="33" t="s">
        <v>38</v>
      </c>
      <c r="AA35" s="14" t="s">
        <v>35</v>
      </c>
      <c r="AB35" s="18" t="s">
        <v>121</v>
      </c>
      <c r="AC35" s="14" t="s">
        <v>35</v>
      </c>
      <c r="AD35" s="18" t="s">
        <v>122</v>
      </c>
      <c r="AE35" s="18">
        <v>26</v>
      </c>
      <c r="AF35" s="18">
        <v>868</v>
      </c>
      <c r="AG35" s="48" t="s">
        <v>40</v>
      </c>
      <c r="AH35" s="48">
        <v>12</v>
      </c>
      <c r="AI35" s="49">
        <v>300</v>
      </c>
      <c r="AJ35" s="48">
        <v>22</v>
      </c>
      <c r="AK35" s="14" t="s">
        <v>42</v>
      </c>
      <c r="AL35" s="48">
        <v>4</v>
      </c>
      <c r="AM35" s="14">
        <v>100</v>
      </c>
      <c r="AN35" s="14" t="s">
        <v>42</v>
      </c>
      <c r="AO35" s="48" t="s">
        <v>123</v>
      </c>
      <c r="AP35" s="48">
        <v>60</v>
      </c>
      <c r="AQ35" s="14" t="s">
        <v>42</v>
      </c>
      <c r="AR35" s="14" t="s">
        <v>38</v>
      </c>
      <c r="AS35" s="34"/>
      <c r="AT35" s="34"/>
      <c r="AU35" s="14" t="s">
        <v>35</v>
      </c>
      <c r="AV35" s="14" t="s">
        <v>38</v>
      </c>
      <c r="AW35" s="14" t="s">
        <v>38</v>
      </c>
      <c r="AX35" s="29">
        <v>25</v>
      </c>
      <c r="AY35" s="29">
        <v>550</v>
      </c>
      <c r="AZ35" s="29">
        <v>30</v>
      </c>
      <c r="BA35" s="29">
        <v>560</v>
      </c>
      <c r="BB35" s="48" t="s">
        <v>42</v>
      </c>
      <c r="BC35" s="48">
        <v>4</v>
      </c>
      <c r="BD35" s="48">
        <v>0.7</v>
      </c>
      <c r="BE35" s="48" t="s">
        <v>42</v>
      </c>
      <c r="BF35" s="50" t="s">
        <v>125</v>
      </c>
      <c r="BG35" s="36">
        <f>T35/100*(44)*12.86</f>
        <v>75231.200616</v>
      </c>
      <c r="BH35" s="36">
        <f>T35/100*(56)*25.73</f>
        <v>191572.05631200003</v>
      </c>
      <c r="BI35" s="37">
        <f t="shared" si="0"/>
        <v>266803.256928</v>
      </c>
      <c r="BJ35" s="36"/>
      <c r="BK35" s="37">
        <f t="shared" si="4"/>
        <v>266803.256928</v>
      </c>
      <c r="BL35" s="38"/>
      <c r="BM35" s="38">
        <f t="shared" si="1"/>
        <v>0.7</v>
      </c>
      <c r="BN35" s="37">
        <v>4000</v>
      </c>
    </row>
    <row r="36" spans="1:66" s="17" customFormat="1" ht="30">
      <c r="A36" s="12" t="s">
        <v>128</v>
      </c>
      <c r="B36" s="2">
        <v>305</v>
      </c>
      <c r="C36" s="3" t="s">
        <v>33</v>
      </c>
      <c r="D36" s="3" t="s">
        <v>61</v>
      </c>
      <c r="E36" s="3"/>
      <c r="F36" s="11" t="s">
        <v>35</v>
      </c>
      <c r="G36" s="3" t="s">
        <v>36</v>
      </c>
      <c r="H36" s="14" t="s">
        <v>37</v>
      </c>
      <c r="I36" s="31" t="s">
        <v>465</v>
      </c>
      <c r="J36" s="31">
        <v>2360</v>
      </c>
      <c r="K36" s="14" t="s">
        <v>472</v>
      </c>
      <c r="L36" s="18">
        <v>8224</v>
      </c>
      <c r="M36" s="18">
        <v>9018</v>
      </c>
      <c r="N36" s="18">
        <v>11726</v>
      </c>
      <c r="O36" s="18">
        <v>9662</v>
      </c>
      <c r="P36" s="18">
        <v>9407</v>
      </c>
      <c r="Q36" s="18">
        <v>10236</v>
      </c>
      <c r="R36" s="18">
        <v>19409</v>
      </c>
      <c r="S36" s="32">
        <f>(R36-Q36)/R36</f>
        <v>0.47261579679530114</v>
      </c>
      <c r="T36" s="18">
        <f>R36/100*73</f>
        <v>14168.57</v>
      </c>
      <c r="U36" s="14" t="s">
        <v>40</v>
      </c>
      <c r="V36" s="18" t="s">
        <v>41</v>
      </c>
      <c r="W36" s="14" t="s">
        <v>42</v>
      </c>
      <c r="X36" s="18" t="s">
        <v>41</v>
      </c>
      <c r="Y36" s="14" t="s">
        <v>42</v>
      </c>
      <c r="Z36" s="33" t="s">
        <v>41</v>
      </c>
      <c r="AA36" s="14" t="s">
        <v>35</v>
      </c>
      <c r="AB36" s="18">
        <v>62368</v>
      </c>
      <c r="AC36" s="14" t="s">
        <v>35</v>
      </c>
      <c r="AD36" s="18">
        <v>2053</v>
      </c>
      <c r="AE36" s="18">
        <v>12</v>
      </c>
      <c r="AF36" s="18">
        <v>354</v>
      </c>
      <c r="AG36" s="14" t="s">
        <v>40</v>
      </c>
      <c r="AH36" s="14" t="s">
        <v>41</v>
      </c>
      <c r="AI36" s="20" t="s">
        <v>41</v>
      </c>
      <c r="AJ36" s="14" t="s">
        <v>41</v>
      </c>
      <c r="AK36" s="14" t="s">
        <v>42</v>
      </c>
      <c r="AL36" s="14">
        <v>5</v>
      </c>
      <c r="AM36" s="14">
        <v>75</v>
      </c>
      <c r="AN36" s="14" t="s">
        <v>42</v>
      </c>
      <c r="AO36" s="14">
        <v>5</v>
      </c>
      <c r="AP36" s="14">
        <v>275</v>
      </c>
      <c r="AQ36" s="14" t="s">
        <v>481</v>
      </c>
      <c r="AR36" s="14" t="s">
        <v>35</v>
      </c>
      <c r="AS36" s="34">
        <v>6</v>
      </c>
      <c r="AT36" s="34">
        <v>3</v>
      </c>
      <c r="AU36" s="14" t="s">
        <v>35</v>
      </c>
      <c r="AV36" s="14" t="s">
        <v>38</v>
      </c>
      <c r="AW36" s="14" t="s">
        <v>35</v>
      </c>
      <c r="AX36" s="29">
        <v>45</v>
      </c>
      <c r="AY36" s="29">
        <v>5000</v>
      </c>
      <c r="AZ36" s="29">
        <v>50</v>
      </c>
      <c r="BA36" s="29">
        <v>10000</v>
      </c>
      <c r="BB36" s="14" t="s">
        <v>42</v>
      </c>
      <c r="BC36" s="14">
        <v>11</v>
      </c>
      <c r="BD36" s="14">
        <v>5</v>
      </c>
      <c r="BE36" s="14" t="s">
        <v>42</v>
      </c>
      <c r="BF36" s="35" t="s">
        <v>41</v>
      </c>
      <c r="BG36" s="36">
        <f>T36/100*(44)*12.91</f>
        <v>80483.145028</v>
      </c>
      <c r="BH36" s="36">
        <f>T36/100*(56)*25.82</f>
        <v>204866.187344</v>
      </c>
      <c r="BI36" s="37">
        <f t="shared" si="0"/>
        <v>285349.332372</v>
      </c>
      <c r="BJ36" s="36">
        <v>477393</v>
      </c>
      <c r="BK36" s="37">
        <f t="shared" si="4"/>
        <v>762742.332372</v>
      </c>
      <c r="BL36" s="38">
        <v>2.4974999999999996</v>
      </c>
      <c r="BM36" s="38">
        <f t="shared" si="1"/>
        <v>7.4975</v>
      </c>
      <c r="BN36" s="37">
        <v>71428.57142857143</v>
      </c>
    </row>
    <row r="37" spans="1:66" s="17" customFormat="1" ht="45">
      <c r="A37" s="12" t="s">
        <v>129</v>
      </c>
      <c r="B37" s="2">
        <v>737</v>
      </c>
      <c r="C37" s="3" t="s">
        <v>33</v>
      </c>
      <c r="D37" s="10" t="s">
        <v>34</v>
      </c>
      <c r="E37" s="10" t="s">
        <v>109</v>
      </c>
      <c r="F37" s="11" t="s">
        <v>35</v>
      </c>
      <c r="G37" s="3" t="s">
        <v>67</v>
      </c>
      <c r="H37" s="8" t="s">
        <v>67</v>
      </c>
      <c r="I37" s="31" t="s">
        <v>466</v>
      </c>
      <c r="J37" s="31" t="s">
        <v>431</v>
      </c>
      <c r="K37" s="8" t="s">
        <v>472</v>
      </c>
      <c r="L37" s="18"/>
      <c r="M37" s="18"/>
      <c r="N37" s="18">
        <v>12727</v>
      </c>
      <c r="O37" s="18">
        <v>11022</v>
      </c>
      <c r="P37" s="18">
        <v>10661</v>
      </c>
      <c r="Q37" s="18">
        <v>11300</v>
      </c>
      <c r="R37" s="18">
        <v>10327</v>
      </c>
      <c r="S37" s="32">
        <f>(R37-Q37)/R37</f>
        <v>-0.0942190374745812</v>
      </c>
      <c r="T37" s="18">
        <f>R37/100*73</f>
        <v>7538.71</v>
      </c>
      <c r="U37" s="8" t="s">
        <v>40</v>
      </c>
      <c r="V37" s="18">
        <v>7857</v>
      </c>
      <c r="W37" s="8" t="s">
        <v>40</v>
      </c>
      <c r="X37" s="18">
        <v>2470</v>
      </c>
      <c r="Y37" s="8" t="s">
        <v>40</v>
      </c>
      <c r="Z37" s="41" t="s">
        <v>432</v>
      </c>
      <c r="AA37" s="8" t="s">
        <v>35</v>
      </c>
      <c r="AB37" s="18" t="s">
        <v>37</v>
      </c>
      <c r="AC37" s="8" t="s">
        <v>35</v>
      </c>
      <c r="AD37" s="18">
        <v>789</v>
      </c>
      <c r="AE37" s="18">
        <v>28</v>
      </c>
      <c r="AF37" s="18">
        <v>1284</v>
      </c>
      <c r="AG37" s="45" t="s">
        <v>40</v>
      </c>
      <c r="AH37" s="8">
        <v>0</v>
      </c>
      <c r="AI37" s="42">
        <v>0</v>
      </c>
      <c r="AJ37" s="8">
        <v>23</v>
      </c>
      <c r="AK37" s="8" t="s">
        <v>40</v>
      </c>
      <c r="AL37" s="8">
        <v>14</v>
      </c>
      <c r="AM37" s="8">
        <v>699</v>
      </c>
      <c r="AN37" s="8" t="s">
        <v>40</v>
      </c>
      <c r="AO37" s="8">
        <v>0</v>
      </c>
      <c r="AP37" s="8">
        <v>0</v>
      </c>
      <c r="AQ37" s="8" t="s">
        <v>40</v>
      </c>
      <c r="AR37" s="8" t="s">
        <v>35</v>
      </c>
      <c r="AS37" s="34">
        <v>4.8</v>
      </c>
      <c r="AT37" s="34">
        <v>3.9</v>
      </c>
      <c r="AU37" s="8" t="s">
        <v>35</v>
      </c>
      <c r="AV37" s="8" t="s">
        <v>38</v>
      </c>
      <c r="AW37" s="8" t="s">
        <v>38</v>
      </c>
      <c r="AX37" s="29"/>
      <c r="AY37" s="29"/>
      <c r="AZ37" s="29" t="s">
        <v>424</v>
      </c>
      <c r="BA37" s="29" t="s">
        <v>424</v>
      </c>
      <c r="BB37" s="45" t="s">
        <v>37</v>
      </c>
      <c r="BC37" s="45" t="s">
        <v>424</v>
      </c>
      <c r="BD37" s="45" t="s">
        <v>424</v>
      </c>
      <c r="BE37" s="45" t="s">
        <v>37</v>
      </c>
      <c r="BF37" s="46" t="s">
        <v>433</v>
      </c>
      <c r="BG37" s="36">
        <f>T37/100*(44)*14.08</f>
        <v>46703.816192</v>
      </c>
      <c r="BH37" s="36">
        <f>T37/100*(56)*28.16</f>
        <v>118882.441216</v>
      </c>
      <c r="BI37" s="37">
        <f t="shared" si="0"/>
        <v>165586.257408</v>
      </c>
      <c r="BJ37" s="36"/>
      <c r="BK37" s="37">
        <f t="shared" si="4"/>
        <v>165586.257408</v>
      </c>
      <c r="BL37" s="44"/>
      <c r="BM37" s="38"/>
      <c r="BN37" s="37"/>
    </row>
    <row r="38" spans="1:66" s="17" customFormat="1" ht="60">
      <c r="A38" s="3" t="s">
        <v>130</v>
      </c>
      <c r="B38" s="2">
        <v>776</v>
      </c>
      <c r="C38" s="3" t="s">
        <v>33</v>
      </c>
      <c r="D38" s="16" t="s">
        <v>44</v>
      </c>
      <c r="E38" s="16"/>
      <c r="F38" s="11" t="s">
        <v>35</v>
      </c>
      <c r="G38" s="3" t="s">
        <v>36</v>
      </c>
      <c r="H38" s="14" t="s">
        <v>36</v>
      </c>
      <c r="I38" s="31" t="s">
        <v>465</v>
      </c>
      <c r="J38" s="31">
        <v>1852</v>
      </c>
      <c r="K38" s="14" t="s">
        <v>471</v>
      </c>
      <c r="L38" s="18">
        <v>9429</v>
      </c>
      <c r="M38" s="18">
        <v>11406</v>
      </c>
      <c r="N38" s="18">
        <v>13804</v>
      </c>
      <c r="O38" s="18">
        <v>12592</v>
      </c>
      <c r="P38" s="18">
        <v>10841</v>
      </c>
      <c r="Q38" s="18">
        <v>11144</v>
      </c>
      <c r="R38" s="18">
        <v>9993</v>
      </c>
      <c r="S38" s="32">
        <f>(R38-Q38)/R38</f>
        <v>-0.11518062643850696</v>
      </c>
      <c r="T38" s="18">
        <f>R38/100*77</f>
        <v>7694.610000000001</v>
      </c>
      <c r="U38" s="14" t="s">
        <v>40</v>
      </c>
      <c r="V38" s="18">
        <v>5244</v>
      </c>
      <c r="W38" s="14" t="s">
        <v>40</v>
      </c>
      <c r="X38" s="18">
        <v>4749</v>
      </c>
      <c r="Y38" s="14" t="s">
        <v>40</v>
      </c>
      <c r="Z38" s="33" t="s">
        <v>131</v>
      </c>
      <c r="AA38" s="14" t="s">
        <v>35</v>
      </c>
      <c r="AB38" s="18">
        <v>11981</v>
      </c>
      <c r="AC38" s="14" t="s">
        <v>35</v>
      </c>
      <c r="AD38" s="18">
        <v>1707</v>
      </c>
      <c r="AE38" s="18">
        <v>65</v>
      </c>
      <c r="AF38" s="18">
        <v>2816</v>
      </c>
      <c r="AG38" s="14" t="s">
        <v>40</v>
      </c>
      <c r="AH38" s="14">
        <v>22</v>
      </c>
      <c r="AI38" s="20">
        <v>2950</v>
      </c>
      <c r="AJ38" s="14">
        <v>35</v>
      </c>
      <c r="AK38" s="14" t="s">
        <v>40</v>
      </c>
      <c r="AL38" s="14">
        <v>23</v>
      </c>
      <c r="AM38" s="14">
        <v>829</v>
      </c>
      <c r="AN38" s="14" t="s">
        <v>40</v>
      </c>
      <c r="AO38" s="14">
        <v>1</v>
      </c>
      <c r="AP38" s="14">
        <v>20</v>
      </c>
      <c r="AQ38" s="14" t="s">
        <v>42</v>
      </c>
      <c r="AR38" s="14" t="s">
        <v>35</v>
      </c>
      <c r="AS38" s="34">
        <v>4.5</v>
      </c>
      <c r="AT38" s="34">
        <v>1</v>
      </c>
      <c r="AU38" s="14" t="s">
        <v>35</v>
      </c>
      <c r="AV38" s="14" t="s">
        <v>38</v>
      </c>
      <c r="AW38" s="14" t="s">
        <v>38</v>
      </c>
      <c r="AX38" s="29">
        <v>63</v>
      </c>
      <c r="AY38" s="29">
        <v>2321</v>
      </c>
      <c r="AZ38" s="29">
        <v>87</v>
      </c>
      <c r="BA38" s="29">
        <v>2472</v>
      </c>
      <c r="BB38" s="14" t="s">
        <v>42</v>
      </c>
      <c r="BC38" s="14">
        <v>8</v>
      </c>
      <c r="BD38" s="14">
        <v>4.4</v>
      </c>
      <c r="BE38" s="14" t="s">
        <v>40</v>
      </c>
      <c r="BF38" s="35" t="s">
        <v>132</v>
      </c>
      <c r="BG38" s="36">
        <f>T38/100*(47)*17.99</f>
        <v>65060.235932999996</v>
      </c>
      <c r="BH38" s="36">
        <f>T38/100*(53)*35.98</f>
        <v>146731.59593399998</v>
      </c>
      <c r="BI38" s="37">
        <f t="shared" si="0"/>
        <v>211791.83186699997</v>
      </c>
      <c r="BJ38" s="36">
        <v>90879.963</v>
      </c>
      <c r="BK38" s="37">
        <f t="shared" si="4"/>
        <v>302671.79486699996</v>
      </c>
      <c r="BL38" s="38">
        <v>2.3463000000000003</v>
      </c>
      <c r="BM38" s="38">
        <f t="shared" si="1"/>
        <v>6.746300000000001</v>
      </c>
      <c r="BN38" s="37">
        <v>17657.14285714286</v>
      </c>
    </row>
    <row r="39" spans="1:66" s="17" customFormat="1" ht="285">
      <c r="A39" s="3" t="s">
        <v>133</v>
      </c>
      <c r="B39" s="2">
        <v>1474</v>
      </c>
      <c r="C39" s="3" t="s">
        <v>60</v>
      </c>
      <c r="D39" s="3" t="s">
        <v>61</v>
      </c>
      <c r="E39" s="3"/>
      <c r="F39" s="11" t="s">
        <v>35</v>
      </c>
      <c r="G39" s="3" t="s">
        <v>67</v>
      </c>
      <c r="H39" s="14" t="s">
        <v>37</v>
      </c>
      <c r="I39" s="31" t="s">
        <v>204</v>
      </c>
      <c r="J39" s="31" t="s">
        <v>134</v>
      </c>
      <c r="K39" s="14" t="s">
        <v>471</v>
      </c>
      <c r="L39" s="18">
        <v>11805</v>
      </c>
      <c r="M39" s="18">
        <v>12397</v>
      </c>
      <c r="N39" s="18">
        <v>18903</v>
      </c>
      <c r="O39" s="18">
        <v>18660</v>
      </c>
      <c r="P39" s="18">
        <v>16097</v>
      </c>
      <c r="Q39" s="18">
        <v>10347</v>
      </c>
      <c r="R39" s="18">
        <v>1752</v>
      </c>
      <c r="S39" s="32"/>
      <c r="T39" s="18">
        <f>R39/100*77</f>
        <v>1349.04</v>
      </c>
      <c r="U39" s="14" t="s">
        <v>40</v>
      </c>
      <c r="V39" s="18">
        <v>1505</v>
      </c>
      <c r="W39" s="14" t="s">
        <v>40</v>
      </c>
      <c r="X39" s="18">
        <v>247</v>
      </c>
      <c r="Y39" s="14" t="s">
        <v>40</v>
      </c>
      <c r="Z39" s="33" t="s">
        <v>135</v>
      </c>
      <c r="AA39" s="14" t="s">
        <v>35</v>
      </c>
      <c r="AB39" s="18" t="s">
        <v>136</v>
      </c>
      <c r="AC39" s="14" t="s">
        <v>35</v>
      </c>
      <c r="AD39" s="18">
        <v>384948</v>
      </c>
      <c r="AE39" s="18">
        <v>0</v>
      </c>
      <c r="AF39" s="18">
        <v>0</v>
      </c>
      <c r="AG39" s="14" t="s">
        <v>40</v>
      </c>
      <c r="AH39" s="14">
        <v>203</v>
      </c>
      <c r="AI39" s="20">
        <v>5625</v>
      </c>
      <c r="AJ39" s="14">
        <v>39</v>
      </c>
      <c r="AK39" s="14" t="s">
        <v>40</v>
      </c>
      <c r="AL39" s="14">
        <v>0</v>
      </c>
      <c r="AM39" s="14">
        <v>0</v>
      </c>
      <c r="AN39" s="14" t="s">
        <v>40</v>
      </c>
      <c r="AO39" s="14">
        <v>9</v>
      </c>
      <c r="AP39" s="14">
        <v>800</v>
      </c>
      <c r="AQ39" s="14" t="s">
        <v>40</v>
      </c>
      <c r="AR39" s="14" t="s">
        <v>38</v>
      </c>
      <c r="AS39" s="34"/>
      <c r="AT39" s="34"/>
      <c r="AU39" s="14" t="s">
        <v>35</v>
      </c>
      <c r="AV39" s="14" t="s">
        <v>38</v>
      </c>
      <c r="AW39" s="14" t="s">
        <v>38</v>
      </c>
      <c r="AX39" s="29">
        <v>10</v>
      </c>
      <c r="AY39" s="29">
        <v>2160</v>
      </c>
      <c r="AZ39" s="29">
        <v>25</v>
      </c>
      <c r="BA39" s="29">
        <v>590</v>
      </c>
      <c r="BB39" s="14" t="s">
        <v>42</v>
      </c>
      <c r="BC39" s="14">
        <v>18</v>
      </c>
      <c r="BD39" s="14">
        <v>14</v>
      </c>
      <c r="BE39" s="14" t="s">
        <v>40</v>
      </c>
      <c r="BF39" s="35" t="s">
        <v>137</v>
      </c>
      <c r="BG39" s="36">
        <f>T39/100*(47)*12.91</f>
        <v>8185.570007999999</v>
      </c>
      <c r="BH39" s="36">
        <f>T39/100*(53)*25.82</f>
        <v>18461.072784</v>
      </c>
      <c r="BI39" s="37">
        <f t="shared" si="0"/>
        <v>26646.642792</v>
      </c>
      <c r="BJ39" s="36">
        <v>326000</v>
      </c>
      <c r="BK39" s="37">
        <f t="shared" si="4"/>
        <v>352646.64279199997</v>
      </c>
      <c r="BL39" s="38">
        <v>7.465499999999999</v>
      </c>
      <c r="BM39" s="38">
        <f t="shared" si="1"/>
        <v>21.4655</v>
      </c>
      <c r="BN39" s="37">
        <v>4214.285714285715</v>
      </c>
    </row>
    <row r="40" spans="1:66" s="17" customFormat="1" ht="45">
      <c r="A40" s="3" t="s">
        <v>138</v>
      </c>
      <c r="B40" s="2">
        <v>1932</v>
      </c>
      <c r="C40" s="3" t="s">
        <v>33</v>
      </c>
      <c r="D40" s="3" t="s">
        <v>61</v>
      </c>
      <c r="E40" s="3"/>
      <c r="F40" s="11" t="s">
        <v>35</v>
      </c>
      <c r="G40" s="3" t="s">
        <v>139</v>
      </c>
      <c r="H40" s="14" t="s">
        <v>37</v>
      </c>
      <c r="I40" s="31" t="s">
        <v>466</v>
      </c>
      <c r="J40" s="31" t="s">
        <v>41</v>
      </c>
      <c r="K40" s="14" t="s">
        <v>471</v>
      </c>
      <c r="L40" s="18"/>
      <c r="M40" s="18"/>
      <c r="N40" s="18">
        <v>7220</v>
      </c>
      <c r="O40" s="18">
        <v>21520</v>
      </c>
      <c r="P40" s="18">
        <v>15308</v>
      </c>
      <c r="Q40" s="18">
        <v>8630</v>
      </c>
      <c r="R40" s="18">
        <v>921</v>
      </c>
      <c r="S40" s="32">
        <f>(R40-Q40)/R40</f>
        <v>-8.370249728555917</v>
      </c>
      <c r="T40" s="18">
        <f>R40/100*77</f>
        <v>709.1700000000001</v>
      </c>
      <c r="U40" s="14" t="s">
        <v>40</v>
      </c>
      <c r="V40" s="18">
        <v>921</v>
      </c>
      <c r="W40" s="14" t="s">
        <v>40</v>
      </c>
      <c r="X40" s="18">
        <v>25</v>
      </c>
      <c r="Y40" s="14" t="s">
        <v>40</v>
      </c>
      <c r="Z40" s="33" t="s">
        <v>41</v>
      </c>
      <c r="AA40" s="14" t="s">
        <v>35</v>
      </c>
      <c r="AB40" s="18">
        <v>8395</v>
      </c>
      <c r="AC40" s="14" t="s">
        <v>35</v>
      </c>
      <c r="AD40" s="18">
        <v>1946</v>
      </c>
      <c r="AE40" s="18">
        <v>43</v>
      </c>
      <c r="AF40" s="18">
        <v>487</v>
      </c>
      <c r="AG40" s="14" t="s">
        <v>40</v>
      </c>
      <c r="AH40" s="14">
        <v>5</v>
      </c>
      <c r="AI40" s="20">
        <v>391</v>
      </c>
      <c r="AJ40" s="14">
        <v>10</v>
      </c>
      <c r="AK40" s="14" t="s">
        <v>40</v>
      </c>
      <c r="AL40" s="14">
        <v>3</v>
      </c>
      <c r="AM40" s="14">
        <v>62</v>
      </c>
      <c r="AN40" s="14" t="s">
        <v>37</v>
      </c>
      <c r="AO40" s="14">
        <v>0</v>
      </c>
      <c r="AP40" s="14">
        <v>0</v>
      </c>
      <c r="AQ40" s="14" t="s">
        <v>40</v>
      </c>
      <c r="AR40" s="14" t="s">
        <v>38</v>
      </c>
      <c r="AS40" s="34"/>
      <c r="AT40" s="34"/>
      <c r="AU40" s="14" t="s">
        <v>38</v>
      </c>
      <c r="AV40" s="14" t="s">
        <v>38</v>
      </c>
      <c r="AW40" s="14" t="s">
        <v>38</v>
      </c>
      <c r="AX40" s="29">
        <v>0</v>
      </c>
      <c r="AY40" s="29">
        <v>0</v>
      </c>
      <c r="AZ40" s="29">
        <v>0</v>
      </c>
      <c r="BA40" s="29">
        <v>0</v>
      </c>
      <c r="BB40" s="14" t="s">
        <v>40</v>
      </c>
      <c r="BC40" s="14">
        <v>3</v>
      </c>
      <c r="BD40" s="14">
        <v>3</v>
      </c>
      <c r="BE40" s="14" t="s">
        <v>40</v>
      </c>
      <c r="BF40" s="35" t="s">
        <v>41</v>
      </c>
      <c r="BG40" s="36">
        <f>T40/100*(47)*12.91</f>
        <v>4303.030809000001</v>
      </c>
      <c r="BH40" s="36">
        <f>T40/100*(53)*25.82</f>
        <v>9704.707782000001</v>
      </c>
      <c r="BI40" s="37">
        <f t="shared" si="0"/>
        <v>14007.738591000001</v>
      </c>
      <c r="BJ40" s="36"/>
      <c r="BK40" s="37">
        <f t="shared" si="4"/>
        <v>14007.738591000001</v>
      </c>
      <c r="BL40" s="38">
        <v>1.59975</v>
      </c>
      <c r="BM40" s="38">
        <f t="shared" si="1"/>
        <v>4.59975</v>
      </c>
      <c r="BN40" s="37">
        <v>0</v>
      </c>
    </row>
    <row r="41" spans="1:66" s="17" customFormat="1" ht="60">
      <c r="A41" s="12" t="s">
        <v>140</v>
      </c>
      <c r="B41" s="2">
        <v>2274</v>
      </c>
      <c r="C41" s="3" t="s">
        <v>33</v>
      </c>
      <c r="D41" s="3" t="s">
        <v>61</v>
      </c>
      <c r="E41" s="3"/>
      <c r="F41" s="11" t="s">
        <v>35</v>
      </c>
      <c r="G41" s="3" t="s">
        <v>67</v>
      </c>
      <c r="H41" s="14" t="s">
        <v>67</v>
      </c>
      <c r="I41" s="31" t="s">
        <v>466</v>
      </c>
      <c r="J41" s="31">
        <v>280</v>
      </c>
      <c r="K41" s="14" t="s">
        <v>471</v>
      </c>
      <c r="L41" s="18"/>
      <c r="M41" s="18"/>
      <c r="N41" s="18">
        <v>1200</v>
      </c>
      <c r="O41" s="18">
        <v>1250</v>
      </c>
      <c r="P41" s="18">
        <v>1134</v>
      </c>
      <c r="Q41" s="18">
        <v>1694</v>
      </c>
      <c r="R41" s="18">
        <v>2500</v>
      </c>
      <c r="S41" s="32">
        <f>(R41-Q41)/R41</f>
        <v>0.3224</v>
      </c>
      <c r="T41" s="18">
        <f>R41/100*77</f>
        <v>1925</v>
      </c>
      <c r="U41" s="14" t="s">
        <v>42</v>
      </c>
      <c r="V41" s="18">
        <v>1100</v>
      </c>
      <c r="W41" s="14" t="s">
        <v>42</v>
      </c>
      <c r="X41" s="18">
        <v>1400</v>
      </c>
      <c r="Y41" s="14" t="s">
        <v>42</v>
      </c>
      <c r="Z41" s="33" t="s">
        <v>37</v>
      </c>
      <c r="AA41" s="14" t="s">
        <v>38</v>
      </c>
      <c r="AB41" s="18" t="s">
        <v>141</v>
      </c>
      <c r="AC41" s="14" t="s">
        <v>35</v>
      </c>
      <c r="AD41" s="18" t="s">
        <v>142</v>
      </c>
      <c r="AE41" s="18">
        <v>29</v>
      </c>
      <c r="AF41" s="18">
        <v>900</v>
      </c>
      <c r="AG41" s="14" t="s">
        <v>42</v>
      </c>
      <c r="AH41" s="14">
        <v>6</v>
      </c>
      <c r="AI41" s="20">
        <v>2000</v>
      </c>
      <c r="AJ41" s="14">
        <v>40</v>
      </c>
      <c r="AK41" s="14" t="s">
        <v>42</v>
      </c>
      <c r="AL41" s="14" t="s">
        <v>37</v>
      </c>
      <c r="AM41" s="14" t="s">
        <v>37</v>
      </c>
      <c r="AN41" s="14" t="s">
        <v>42</v>
      </c>
      <c r="AO41" s="14">
        <v>9</v>
      </c>
      <c r="AP41" s="14">
        <v>300</v>
      </c>
      <c r="AQ41" s="14" t="s">
        <v>42</v>
      </c>
      <c r="AR41" s="14" t="s">
        <v>143</v>
      </c>
      <c r="AS41" s="34">
        <v>0</v>
      </c>
      <c r="AT41" s="34">
        <v>3</v>
      </c>
      <c r="AU41" s="14" t="s">
        <v>38</v>
      </c>
      <c r="AV41" s="14" t="s">
        <v>38</v>
      </c>
      <c r="AW41" s="14" t="s">
        <v>38</v>
      </c>
      <c r="AX41" s="29">
        <v>8</v>
      </c>
      <c r="AY41" s="29">
        <v>1189.5</v>
      </c>
      <c r="AZ41" s="29">
        <v>7</v>
      </c>
      <c r="BA41" s="29">
        <v>2400</v>
      </c>
      <c r="BB41" s="14" t="s">
        <v>42</v>
      </c>
      <c r="BC41" s="14">
        <v>3</v>
      </c>
      <c r="BD41" s="14">
        <v>1.5</v>
      </c>
      <c r="BE41" s="14" t="s">
        <v>40</v>
      </c>
      <c r="BF41" s="35" t="s">
        <v>144</v>
      </c>
      <c r="BG41" s="36">
        <f>T41/100*(47)*12.91</f>
        <v>11680.3225</v>
      </c>
      <c r="BH41" s="36">
        <f>T41/100*(53)*25.82</f>
        <v>26342.855</v>
      </c>
      <c r="BI41" s="37">
        <f t="shared" si="0"/>
        <v>38023.1775</v>
      </c>
      <c r="BJ41" s="36"/>
      <c r="BK41" s="37">
        <f t="shared" si="4"/>
        <v>38023.1775</v>
      </c>
      <c r="BL41" s="38">
        <v>0.799875</v>
      </c>
      <c r="BM41" s="38">
        <f t="shared" si="1"/>
        <v>2.299875</v>
      </c>
      <c r="BN41" s="37">
        <v>17142.85714285714</v>
      </c>
    </row>
    <row r="42" spans="1:66" s="17" customFormat="1" ht="60">
      <c r="A42" s="13" t="s">
        <v>145</v>
      </c>
      <c r="B42" s="2">
        <v>2053</v>
      </c>
      <c r="C42" s="3" t="s">
        <v>33</v>
      </c>
      <c r="D42" s="3" t="s">
        <v>61</v>
      </c>
      <c r="E42" s="3"/>
      <c r="F42" s="11" t="s">
        <v>35</v>
      </c>
      <c r="G42" s="3" t="s">
        <v>36</v>
      </c>
      <c r="H42" s="14" t="s">
        <v>36</v>
      </c>
      <c r="I42" s="31" t="s">
        <v>465</v>
      </c>
      <c r="J42" s="31">
        <v>264</v>
      </c>
      <c r="K42" s="14" t="s">
        <v>471</v>
      </c>
      <c r="L42" s="18">
        <v>8140</v>
      </c>
      <c r="M42" s="18">
        <v>12851</v>
      </c>
      <c r="N42" s="18">
        <v>10651</v>
      </c>
      <c r="O42" s="18"/>
      <c r="P42" s="18">
        <v>8134</v>
      </c>
      <c r="Q42" s="18">
        <v>7486</v>
      </c>
      <c r="R42" s="18">
        <v>9923</v>
      </c>
      <c r="S42" s="32">
        <f>(R42-Q42)/R42</f>
        <v>0.24559105109341933</v>
      </c>
      <c r="T42" s="18">
        <f>R42/100*77</f>
        <v>7640.71</v>
      </c>
      <c r="U42" s="14" t="s">
        <v>40</v>
      </c>
      <c r="V42" s="18">
        <v>4174</v>
      </c>
      <c r="W42" s="14" t="s">
        <v>40</v>
      </c>
      <c r="X42" s="18">
        <v>5749</v>
      </c>
      <c r="Y42" s="14" t="s">
        <v>40</v>
      </c>
      <c r="Z42" s="33" t="s">
        <v>124</v>
      </c>
      <c r="AA42" s="14" t="s">
        <v>35</v>
      </c>
      <c r="AB42" s="18" t="s">
        <v>51</v>
      </c>
      <c r="AC42" s="14" t="s">
        <v>35</v>
      </c>
      <c r="AD42" s="18">
        <v>3571</v>
      </c>
      <c r="AE42" s="18">
        <v>40</v>
      </c>
      <c r="AF42" s="18">
        <v>1253</v>
      </c>
      <c r="AG42" s="14" t="s">
        <v>40</v>
      </c>
      <c r="AH42" s="14">
        <v>20</v>
      </c>
      <c r="AI42" s="20">
        <v>600</v>
      </c>
      <c r="AJ42" s="14">
        <v>34</v>
      </c>
      <c r="AK42" s="14" t="s">
        <v>40</v>
      </c>
      <c r="AL42" s="14">
        <v>69</v>
      </c>
      <c r="AM42" s="14">
        <v>2069</v>
      </c>
      <c r="AN42" s="14" t="s">
        <v>40</v>
      </c>
      <c r="AO42" s="14">
        <v>7</v>
      </c>
      <c r="AP42" s="14">
        <v>2803</v>
      </c>
      <c r="AQ42" s="14" t="s">
        <v>40</v>
      </c>
      <c r="AR42" s="14" t="s">
        <v>38</v>
      </c>
      <c r="AS42" s="34"/>
      <c r="AT42" s="34"/>
      <c r="AU42" s="14" t="s">
        <v>35</v>
      </c>
      <c r="AV42" s="14" t="s">
        <v>38</v>
      </c>
      <c r="AW42" s="14" t="s">
        <v>38</v>
      </c>
      <c r="AX42" s="29">
        <v>30</v>
      </c>
      <c r="AY42" s="29">
        <v>2418</v>
      </c>
      <c r="AZ42" s="29">
        <v>33</v>
      </c>
      <c r="BA42" s="29">
        <v>2250</v>
      </c>
      <c r="BB42" s="14" t="s">
        <v>42</v>
      </c>
      <c r="BC42" s="14">
        <v>1</v>
      </c>
      <c r="BD42" s="14" t="s">
        <v>236</v>
      </c>
      <c r="BE42" s="14" t="s">
        <v>40</v>
      </c>
      <c r="BF42" s="35" t="s">
        <v>146</v>
      </c>
      <c r="BG42" s="36">
        <f>T42/100*(47)*12.91</f>
        <v>46361.536067</v>
      </c>
      <c r="BH42" s="36">
        <f>T42/100*(53)*25.82</f>
        <v>104560.060066</v>
      </c>
      <c r="BI42" s="37">
        <f t="shared" si="0"/>
        <v>150921.596133</v>
      </c>
      <c r="BJ42" s="36">
        <v>8097.860000000001</v>
      </c>
      <c r="BK42" s="37">
        <f t="shared" si="4"/>
        <v>159019.45613300003</v>
      </c>
      <c r="BL42" s="38"/>
      <c r="BM42" s="38"/>
      <c r="BN42" s="37">
        <v>16071.428571428572</v>
      </c>
    </row>
    <row r="43" spans="1:66" s="17" customFormat="1" ht="78" customHeight="1">
      <c r="A43" s="3" t="s">
        <v>147</v>
      </c>
      <c r="B43" s="2">
        <v>580</v>
      </c>
      <c r="C43" s="3" t="s">
        <v>33</v>
      </c>
      <c r="D43" s="3" t="s">
        <v>61</v>
      </c>
      <c r="E43" s="3"/>
      <c r="F43" s="11" t="s">
        <v>464</v>
      </c>
      <c r="G43" s="3" t="s">
        <v>45</v>
      </c>
      <c r="H43" s="14"/>
      <c r="I43" s="39"/>
      <c r="J43" s="39"/>
      <c r="K43" s="14"/>
      <c r="L43" s="18"/>
      <c r="M43" s="18"/>
      <c r="N43" s="18"/>
      <c r="O43" s="18"/>
      <c r="P43" s="18"/>
      <c r="Q43" s="18"/>
      <c r="R43" s="18"/>
      <c r="S43" s="32"/>
      <c r="T43" s="18"/>
      <c r="U43" s="14"/>
      <c r="V43" s="18"/>
      <c r="W43" s="14"/>
      <c r="X43" s="18"/>
      <c r="Y43" s="14"/>
      <c r="Z43" s="33"/>
      <c r="AA43" s="14" t="s">
        <v>38</v>
      </c>
      <c r="AB43" s="18"/>
      <c r="AC43" s="14"/>
      <c r="AD43" s="18"/>
      <c r="AE43" s="18"/>
      <c r="AF43" s="18"/>
      <c r="AG43" s="14"/>
      <c r="AH43" s="14"/>
      <c r="AI43" s="20"/>
      <c r="AJ43" s="14"/>
      <c r="AK43" s="14"/>
      <c r="AL43" s="14"/>
      <c r="AM43" s="14"/>
      <c r="AN43" s="14"/>
      <c r="AO43" s="14"/>
      <c r="AP43" s="14"/>
      <c r="AQ43" s="14"/>
      <c r="AR43" s="14" t="s">
        <v>38</v>
      </c>
      <c r="AS43" s="34"/>
      <c r="AT43" s="34"/>
      <c r="AU43" s="14" t="s">
        <v>35</v>
      </c>
      <c r="AV43" s="14"/>
      <c r="AW43" s="14"/>
      <c r="AX43" s="29"/>
      <c r="AY43" s="29"/>
      <c r="AZ43" s="29"/>
      <c r="BA43" s="29"/>
      <c r="BB43" s="14"/>
      <c r="BC43" s="14"/>
      <c r="BD43" s="14"/>
      <c r="BE43" s="14"/>
      <c r="BF43" s="35"/>
      <c r="BG43" s="36"/>
      <c r="BH43" s="36"/>
      <c r="BI43" s="37"/>
      <c r="BJ43" s="36"/>
      <c r="BK43" s="37"/>
      <c r="BL43" s="38"/>
      <c r="BM43" s="38">
        <f t="shared" si="1"/>
        <v>0</v>
      </c>
      <c r="BN43" s="37"/>
    </row>
    <row r="44" spans="1:66" s="17" customFormat="1" ht="120">
      <c r="A44" s="12" t="s">
        <v>148</v>
      </c>
      <c r="B44" s="2">
        <v>666</v>
      </c>
      <c r="C44" s="3" t="s">
        <v>33</v>
      </c>
      <c r="D44" s="10" t="s">
        <v>34</v>
      </c>
      <c r="E44" s="10"/>
      <c r="F44" s="11" t="s">
        <v>35</v>
      </c>
      <c r="G44" s="3" t="s">
        <v>36</v>
      </c>
      <c r="H44" s="14" t="s">
        <v>36</v>
      </c>
      <c r="I44" s="31" t="s">
        <v>466</v>
      </c>
      <c r="J44" s="31">
        <v>400</v>
      </c>
      <c r="K44" s="14" t="s">
        <v>471</v>
      </c>
      <c r="L44" s="18">
        <v>1070</v>
      </c>
      <c r="M44" s="18">
        <v>920</v>
      </c>
      <c r="N44" s="18">
        <v>758</v>
      </c>
      <c r="O44" s="18">
        <v>835</v>
      </c>
      <c r="P44" s="18">
        <v>915</v>
      </c>
      <c r="Q44" s="18">
        <v>623</v>
      </c>
      <c r="R44" s="18">
        <v>830</v>
      </c>
      <c r="S44" s="32">
        <f>(R44-Q44)/R44</f>
        <v>0.2493975903614458</v>
      </c>
      <c r="T44" s="18">
        <f>R44/100*77</f>
        <v>639.1</v>
      </c>
      <c r="U44" s="14" t="s">
        <v>42</v>
      </c>
      <c r="V44" s="18">
        <v>750</v>
      </c>
      <c r="W44" s="14" t="s">
        <v>42</v>
      </c>
      <c r="X44" s="18">
        <v>80</v>
      </c>
      <c r="Y44" s="14" t="s">
        <v>40</v>
      </c>
      <c r="Z44" s="33" t="s">
        <v>149</v>
      </c>
      <c r="AA44" s="14" t="s">
        <v>35</v>
      </c>
      <c r="AB44" s="18" t="s">
        <v>150</v>
      </c>
      <c r="AC44" s="14" t="s">
        <v>35</v>
      </c>
      <c r="AD44" s="18" t="s">
        <v>150</v>
      </c>
      <c r="AE44" s="18">
        <v>3</v>
      </c>
      <c r="AF44" s="18">
        <v>60</v>
      </c>
      <c r="AG44" s="14" t="s">
        <v>40</v>
      </c>
      <c r="AH44" s="14">
        <v>1</v>
      </c>
      <c r="AI44" s="20">
        <v>25</v>
      </c>
      <c r="AJ44" s="14">
        <v>4</v>
      </c>
      <c r="AK44" s="14" t="s">
        <v>40</v>
      </c>
      <c r="AL44" s="14">
        <v>7</v>
      </c>
      <c r="AM44" s="14">
        <v>60</v>
      </c>
      <c r="AN44" s="14" t="s">
        <v>42</v>
      </c>
      <c r="AO44" s="14" t="s">
        <v>37</v>
      </c>
      <c r="AP44" s="14" t="s">
        <v>37</v>
      </c>
      <c r="AQ44" s="14" t="s">
        <v>37</v>
      </c>
      <c r="AR44" s="14" t="s">
        <v>38</v>
      </c>
      <c r="AS44" s="34"/>
      <c r="AT44" s="34"/>
      <c r="AU44" s="14" t="s">
        <v>35</v>
      </c>
      <c r="AV44" s="14" t="s">
        <v>38</v>
      </c>
      <c r="AW44" s="14" t="s">
        <v>38</v>
      </c>
      <c r="AX44" s="29">
        <v>25</v>
      </c>
      <c r="AY44" s="29">
        <v>1250</v>
      </c>
      <c r="AZ44" s="29">
        <v>25</v>
      </c>
      <c r="BA44" s="29">
        <v>7425</v>
      </c>
      <c r="BB44" s="14" t="s">
        <v>42</v>
      </c>
      <c r="BC44" s="14">
        <v>0</v>
      </c>
      <c r="BD44" s="14">
        <v>0</v>
      </c>
      <c r="BE44" s="14" t="s">
        <v>40</v>
      </c>
      <c r="BF44" s="35" t="s">
        <v>151</v>
      </c>
      <c r="BG44" s="36">
        <f>T44/100*(47)*14.08</f>
        <v>4229.3081600000005</v>
      </c>
      <c r="BH44" s="36">
        <f>T44/100*(53)*28.16</f>
        <v>9538.439680000001</v>
      </c>
      <c r="BI44" s="37">
        <f t="shared" si="0"/>
        <v>13767.747840000002</v>
      </c>
      <c r="BJ44" s="36"/>
      <c r="BK44" s="37">
        <f>BJ44+BI44</f>
        <v>13767.747840000002</v>
      </c>
      <c r="BL44" s="38">
        <v>0</v>
      </c>
      <c r="BM44" s="38">
        <f t="shared" si="1"/>
        <v>0</v>
      </c>
      <c r="BN44" s="37">
        <v>53035.71428571429</v>
      </c>
    </row>
    <row r="45" spans="1:66" s="17" customFormat="1" ht="78" customHeight="1">
      <c r="A45" s="3" t="s">
        <v>152</v>
      </c>
      <c r="B45" s="2">
        <v>1754</v>
      </c>
      <c r="C45" s="3" t="s">
        <v>33</v>
      </c>
      <c r="D45" s="16" t="s">
        <v>34</v>
      </c>
      <c r="E45" s="16"/>
      <c r="F45" s="11"/>
      <c r="G45" s="3" t="s">
        <v>55</v>
      </c>
      <c r="H45" s="14"/>
      <c r="I45" s="39"/>
      <c r="J45" s="39"/>
      <c r="K45" s="14"/>
      <c r="L45" s="18"/>
      <c r="M45" s="18"/>
      <c r="N45" s="18"/>
      <c r="O45" s="18"/>
      <c r="P45" s="18"/>
      <c r="Q45" s="18"/>
      <c r="R45" s="18"/>
      <c r="S45" s="32"/>
      <c r="T45" s="18"/>
      <c r="U45" s="14"/>
      <c r="V45" s="18"/>
      <c r="W45" s="14"/>
      <c r="X45" s="18"/>
      <c r="Y45" s="14"/>
      <c r="Z45" s="33"/>
      <c r="AA45" s="14" t="s">
        <v>35</v>
      </c>
      <c r="AB45" s="18"/>
      <c r="AC45" s="14"/>
      <c r="AD45" s="18"/>
      <c r="AE45" s="18"/>
      <c r="AF45" s="18"/>
      <c r="AG45" s="14"/>
      <c r="AH45" s="14"/>
      <c r="AI45" s="20"/>
      <c r="AJ45" s="14"/>
      <c r="AK45" s="14"/>
      <c r="AL45" s="14"/>
      <c r="AM45" s="14"/>
      <c r="AN45" s="14"/>
      <c r="AO45" s="14"/>
      <c r="AP45" s="14"/>
      <c r="AQ45" s="14"/>
      <c r="AR45" s="14" t="s">
        <v>35</v>
      </c>
      <c r="AS45" s="34">
        <v>9.9</v>
      </c>
      <c r="AT45" s="34">
        <v>4.7</v>
      </c>
      <c r="AU45" s="14" t="s">
        <v>35</v>
      </c>
      <c r="AV45" s="14"/>
      <c r="AW45" s="14"/>
      <c r="AX45" s="29"/>
      <c r="AY45" s="29"/>
      <c r="AZ45" s="29"/>
      <c r="BA45" s="29"/>
      <c r="BB45" s="14"/>
      <c r="BC45" s="14"/>
      <c r="BD45" s="14"/>
      <c r="BE45" s="14"/>
      <c r="BF45" s="35"/>
      <c r="BG45" s="36"/>
      <c r="BH45" s="36"/>
      <c r="BI45" s="37"/>
      <c r="BJ45" s="36"/>
      <c r="BK45" s="37"/>
      <c r="BL45" s="38"/>
      <c r="BM45" s="38">
        <f t="shared" si="1"/>
        <v>0</v>
      </c>
      <c r="BN45" s="37"/>
    </row>
    <row r="46" spans="1:66" s="17" customFormat="1" ht="195">
      <c r="A46" s="12" t="s">
        <v>153</v>
      </c>
      <c r="B46" s="2">
        <v>2105</v>
      </c>
      <c r="C46" s="3" t="s">
        <v>33</v>
      </c>
      <c r="D46" s="10" t="s">
        <v>50</v>
      </c>
      <c r="E46" s="10"/>
      <c r="F46" s="11" t="s">
        <v>35</v>
      </c>
      <c r="G46" s="3" t="s">
        <v>36</v>
      </c>
      <c r="H46" s="14" t="s">
        <v>36</v>
      </c>
      <c r="I46" s="31" t="s">
        <v>466</v>
      </c>
      <c r="J46" s="31">
        <v>240</v>
      </c>
      <c r="K46" s="14" t="s">
        <v>471</v>
      </c>
      <c r="L46" s="18">
        <v>3854</v>
      </c>
      <c r="M46" s="18">
        <v>4209</v>
      </c>
      <c r="N46" s="18">
        <v>3769</v>
      </c>
      <c r="O46" s="18">
        <v>3838</v>
      </c>
      <c r="P46" s="18">
        <v>5552</v>
      </c>
      <c r="Q46" s="18">
        <v>7241</v>
      </c>
      <c r="R46" s="18">
        <v>4426</v>
      </c>
      <c r="S46" s="32">
        <f>(R46-Q46)/R46</f>
        <v>-0.6360144600090375</v>
      </c>
      <c r="T46" s="18">
        <f>R46/100*77</f>
        <v>3408.02</v>
      </c>
      <c r="U46" s="14" t="s">
        <v>40</v>
      </c>
      <c r="V46" s="18">
        <v>3343</v>
      </c>
      <c r="W46" s="14" t="s">
        <v>40</v>
      </c>
      <c r="X46" s="18">
        <v>1083</v>
      </c>
      <c r="Y46" s="14" t="s">
        <v>40</v>
      </c>
      <c r="Z46" s="33" t="s">
        <v>154</v>
      </c>
      <c r="AA46" s="14" t="s">
        <v>35</v>
      </c>
      <c r="AB46" s="18" t="s">
        <v>155</v>
      </c>
      <c r="AC46" s="14" t="s">
        <v>35</v>
      </c>
      <c r="AD46" s="18" t="s">
        <v>156</v>
      </c>
      <c r="AE46" s="18">
        <v>0</v>
      </c>
      <c r="AF46" s="18">
        <v>0</v>
      </c>
      <c r="AG46" s="14" t="s">
        <v>40</v>
      </c>
      <c r="AH46" s="14">
        <v>0</v>
      </c>
      <c r="AI46" s="20">
        <v>0</v>
      </c>
      <c r="AJ46" s="14">
        <v>0</v>
      </c>
      <c r="AK46" s="14" t="s">
        <v>40</v>
      </c>
      <c r="AL46" s="14">
        <v>0</v>
      </c>
      <c r="AM46" s="14">
        <v>0</v>
      </c>
      <c r="AN46" s="14" t="s">
        <v>40</v>
      </c>
      <c r="AO46" s="14">
        <v>12</v>
      </c>
      <c r="AP46" s="14">
        <v>340</v>
      </c>
      <c r="AQ46" s="14" t="s">
        <v>42</v>
      </c>
      <c r="AR46" s="14" t="s">
        <v>35</v>
      </c>
      <c r="AS46" s="34">
        <v>2</v>
      </c>
      <c r="AT46" s="34">
        <v>0.5</v>
      </c>
      <c r="AU46" s="14" t="s">
        <v>35</v>
      </c>
      <c r="AV46" s="14" t="s">
        <v>35</v>
      </c>
      <c r="AW46" s="14" t="s">
        <v>38</v>
      </c>
      <c r="AX46" s="29">
        <v>24</v>
      </c>
      <c r="AY46" s="29"/>
      <c r="AZ46" s="29">
        <v>30</v>
      </c>
      <c r="BA46" s="29">
        <v>5792</v>
      </c>
      <c r="BB46" s="14" t="s">
        <v>40</v>
      </c>
      <c r="BC46" s="14">
        <v>0</v>
      </c>
      <c r="BD46" s="14">
        <v>0</v>
      </c>
      <c r="BE46" s="14" t="s">
        <v>40</v>
      </c>
      <c r="BF46" s="35" t="s">
        <v>157</v>
      </c>
      <c r="BG46" s="36">
        <f>T46/100*(47)*12.86</f>
        <v>20598.754483999997</v>
      </c>
      <c r="BH46" s="36">
        <f>T46/100*(53)*25.73</f>
        <v>46474.827937999995</v>
      </c>
      <c r="BI46" s="37">
        <f t="shared" si="0"/>
        <v>67073.58242199999</v>
      </c>
      <c r="BJ46" s="36">
        <v>12665</v>
      </c>
      <c r="BK46" s="37">
        <f>BJ46+BI46</f>
        <v>79738.58242199999</v>
      </c>
      <c r="BL46" s="38">
        <v>0</v>
      </c>
      <c r="BM46" s="38">
        <f t="shared" si="1"/>
        <v>0</v>
      </c>
      <c r="BN46" s="37">
        <v>41371.42857142857</v>
      </c>
    </row>
    <row r="47" spans="1:66" s="17" customFormat="1" ht="90">
      <c r="A47" s="13" t="s">
        <v>158</v>
      </c>
      <c r="B47" s="2">
        <v>578</v>
      </c>
      <c r="C47" s="3" t="s">
        <v>33</v>
      </c>
      <c r="D47" s="16" t="s">
        <v>44</v>
      </c>
      <c r="E47" s="16"/>
      <c r="F47" s="11" t="s">
        <v>35</v>
      </c>
      <c r="G47" s="3" t="s">
        <v>139</v>
      </c>
      <c r="H47" s="14" t="s">
        <v>139</v>
      </c>
      <c r="I47" s="31" t="s">
        <v>465</v>
      </c>
      <c r="J47" s="31">
        <v>2080</v>
      </c>
      <c r="K47" s="14" t="s">
        <v>474</v>
      </c>
      <c r="L47" s="18"/>
      <c r="M47" s="18"/>
      <c r="N47" s="18"/>
      <c r="O47" s="18"/>
      <c r="P47" s="18">
        <v>402037</v>
      </c>
      <c r="Q47" s="18">
        <v>321559</v>
      </c>
      <c r="R47" s="18">
        <v>437387</v>
      </c>
      <c r="S47" s="32">
        <f>(R47-Q47)/R47</f>
        <v>0.26481811302119174</v>
      </c>
      <c r="T47" s="18">
        <f>R47/100*68</f>
        <v>297423.16</v>
      </c>
      <c r="U47" s="14" t="s">
        <v>40</v>
      </c>
      <c r="V47" s="18">
        <v>390415</v>
      </c>
      <c r="W47" s="14" t="s">
        <v>40</v>
      </c>
      <c r="X47" s="18">
        <v>46972</v>
      </c>
      <c r="Y47" s="14" t="s">
        <v>40</v>
      </c>
      <c r="Z47" s="33" t="s">
        <v>159</v>
      </c>
      <c r="AA47" s="14" t="s">
        <v>35</v>
      </c>
      <c r="AB47" s="18">
        <v>3012000</v>
      </c>
      <c r="AC47" s="14" t="s">
        <v>35</v>
      </c>
      <c r="AD47" s="18">
        <v>43602</v>
      </c>
      <c r="AE47" s="18">
        <v>612</v>
      </c>
      <c r="AF47" s="18">
        <v>20769</v>
      </c>
      <c r="AG47" s="14" t="s">
        <v>40</v>
      </c>
      <c r="AH47" s="14">
        <v>4</v>
      </c>
      <c r="AI47" s="20">
        <v>179</v>
      </c>
      <c r="AJ47" s="14">
        <v>283</v>
      </c>
      <c r="AK47" s="14" t="s">
        <v>40</v>
      </c>
      <c r="AL47" s="14">
        <v>571</v>
      </c>
      <c r="AM47" s="14">
        <v>13828</v>
      </c>
      <c r="AN47" s="14" t="s">
        <v>40</v>
      </c>
      <c r="AO47" s="14">
        <v>137</v>
      </c>
      <c r="AP47" s="14">
        <v>9189</v>
      </c>
      <c r="AQ47" s="14" t="s">
        <v>40</v>
      </c>
      <c r="AR47" s="14" t="s">
        <v>38</v>
      </c>
      <c r="AS47" s="34"/>
      <c r="AT47" s="34"/>
      <c r="AU47" s="14" t="s">
        <v>35</v>
      </c>
      <c r="AV47" s="14" t="s">
        <v>38</v>
      </c>
      <c r="AW47" s="14" t="s">
        <v>35</v>
      </c>
      <c r="AX47" s="29">
        <v>67</v>
      </c>
      <c r="AY47" s="29">
        <v>6702</v>
      </c>
      <c r="AZ47" s="29">
        <v>64</v>
      </c>
      <c r="BA47" s="29">
        <v>6402</v>
      </c>
      <c r="BB47" s="14" t="s">
        <v>40</v>
      </c>
      <c r="BC47" s="14">
        <v>189</v>
      </c>
      <c r="BD47" s="14">
        <v>165</v>
      </c>
      <c r="BE47" s="14" t="s">
        <v>40</v>
      </c>
      <c r="BF47" s="35" t="s">
        <v>160</v>
      </c>
      <c r="BG47" s="36">
        <f>T47/100*(31)*17.99</f>
        <v>1658699.2210039997</v>
      </c>
      <c r="BH47" s="36">
        <f>T47/100*(69)*35.98</f>
        <v>7383886.854791998</v>
      </c>
      <c r="BI47" s="37">
        <f t="shared" si="0"/>
        <v>9042586.075795997</v>
      </c>
      <c r="BJ47" s="36">
        <v>2348000</v>
      </c>
      <c r="BK47" s="37">
        <f>BJ47+BI47</f>
        <v>11390586.075795997</v>
      </c>
      <c r="BL47" s="38">
        <v>69.609375</v>
      </c>
      <c r="BM47" s="38">
        <f t="shared" si="1"/>
        <v>234.609375</v>
      </c>
      <c r="BN47" s="37">
        <v>45728.57142857143</v>
      </c>
    </row>
    <row r="48" spans="1:66" s="17" customFormat="1" ht="62.25" customHeight="1">
      <c r="A48" s="13" t="s">
        <v>453</v>
      </c>
      <c r="B48" s="2"/>
      <c r="C48" s="3" t="s">
        <v>93</v>
      </c>
      <c r="D48" s="16" t="s">
        <v>44</v>
      </c>
      <c r="E48" s="16"/>
      <c r="F48" s="11"/>
      <c r="G48" s="3" t="s">
        <v>36</v>
      </c>
      <c r="H48" s="14"/>
      <c r="I48" s="39"/>
      <c r="J48" s="39"/>
      <c r="K48" s="14"/>
      <c r="L48" s="18"/>
      <c r="M48" s="18"/>
      <c r="N48" s="18"/>
      <c r="O48" s="18"/>
      <c r="P48" s="18"/>
      <c r="Q48" s="18"/>
      <c r="R48" s="18"/>
      <c r="S48" s="32"/>
      <c r="T48" s="18"/>
      <c r="U48" s="14"/>
      <c r="V48" s="18"/>
      <c r="W48" s="14"/>
      <c r="X48" s="18"/>
      <c r="Y48" s="14"/>
      <c r="Z48" s="33"/>
      <c r="AA48" s="14" t="s">
        <v>35</v>
      </c>
      <c r="AB48" s="18"/>
      <c r="AC48" s="14"/>
      <c r="AD48" s="18"/>
      <c r="AE48" s="18"/>
      <c r="AF48" s="18"/>
      <c r="AG48" s="14"/>
      <c r="AH48" s="14"/>
      <c r="AI48" s="20"/>
      <c r="AJ48" s="14"/>
      <c r="AK48" s="14"/>
      <c r="AL48" s="14"/>
      <c r="AM48" s="14"/>
      <c r="AN48" s="14"/>
      <c r="AO48" s="14"/>
      <c r="AP48" s="14"/>
      <c r="AQ48" s="14"/>
      <c r="AR48" s="14" t="s">
        <v>35</v>
      </c>
      <c r="AS48" s="34">
        <v>6</v>
      </c>
      <c r="AT48" s="34">
        <v>4</v>
      </c>
      <c r="AU48" s="14" t="s">
        <v>35</v>
      </c>
      <c r="AV48" s="14"/>
      <c r="AW48" s="14"/>
      <c r="AX48" s="29"/>
      <c r="AY48" s="29"/>
      <c r="AZ48" s="29"/>
      <c r="BA48" s="29"/>
      <c r="BB48" s="14"/>
      <c r="BC48" s="14"/>
      <c r="BD48" s="14"/>
      <c r="BE48" s="14"/>
      <c r="BF48" s="35"/>
      <c r="BG48" s="36"/>
      <c r="BH48" s="36"/>
      <c r="BI48" s="37"/>
      <c r="BJ48" s="36"/>
      <c r="BK48" s="37"/>
      <c r="BL48" s="38"/>
      <c r="BM48" s="38">
        <f t="shared" si="1"/>
        <v>0</v>
      </c>
      <c r="BN48" s="37"/>
    </row>
    <row r="49" spans="1:66" s="17" customFormat="1" ht="60">
      <c r="A49" s="12" t="s">
        <v>161</v>
      </c>
      <c r="B49" s="2">
        <v>663</v>
      </c>
      <c r="C49" s="3" t="s">
        <v>33</v>
      </c>
      <c r="D49" s="3" t="s">
        <v>61</v>
      </c>
      <c r="E49" s="3"/>
      <c r="F49" s="11" t="s">
        <v>35</v>
      </c>
      <c r="G49" s="3" t="s">
        <v>36</v>
      </c>
      <c r="H49" s="14" t="s">
        <v>36</v>
      </c>
      <c r="I49" s="31" t="s">
        <v>466</v>
      </c>
      <c r="J49" s="31">
        <v>550</v>
      </c>
      <c r="K49" s="14" t="s">
        <v>472</v>
      </c>
      <c r="L49" s="18">
        <v>3990</v>
      </c>
      <c r="M49" s="18">
        <v>5600</v>
      </c>
      <c r="N49" s="18">
        <v>6255</v>
      </c>
      <c r="O49" s="18">
        <v>10795</v>
      </c>
      <c r="P49" s="18">
        <v>10000</v>
      </c>
      <c r="Q49" s="18">
        <v>9000</v>
      </c>
      <c r="R49" s="18">
        <v>10110</v>
      </c>
      <c r="S49" s="32">
        <f>(R49-Q49)/R49</f>
        <v>0.10979228486646884</v>
      </c>
      <c r="T49" s="18">
        <f>R49/100*73</f>
        <v>7380.299999999999</v>
      </c>
      <c r="U49" s="14" t="s">
        <v>37</v>
      </c>
      <c r="V49" s="18">
        <v>10000</v>
      </c>
      <c r="W49" s="14" t="s">
        <v>37</v>
      </c>
      <c r="X49" s="18">
        <v>110</v>
      </c>
      <c r="Y49" s="14" t="s">
        <v>37</v>
      </c>
      <c r="Z49" s="33" t="s">
        <v>162</v>
      </c>
      <c r="AA49" s="14" t="s">
        <v>35</v>
      </c>
      <c r="AB49" s="18" t="s">
        <v>37</v>
      </c>
      <c r="AC49" s="14" t="s">
        <v>37</v>
      </c>
      <c r="AD49" s="18" t="s">
        <v>37</v>
      </c>
      <c r="AE49" s="18">
        <v>8</v>
      </c>
      <c r="AF49" s="18">
        <v>250</v>
      </c>
      <c r="AG49" s="14" t="s">
        <v>40</v>
      </c>
      <c r="AH49" s="14">
        <v>0</v>
      </c>
      <c r="AI49" s="20">
        <v>0</v>
      </c>
      <c r="AJ49" s="14">
        <v>6</v>
      </c>
      <c r="AK49" s="14" t="s">
        <v>42</v>
      </c>
      <c r="AL49" s="14">
        <v>20</v>
      </c>
      <c r="AM49" s="14">
        <v>400</v>
      </c>
      <c r="AN49" s="14" t="s">
        <v>40</v>
      </c>
      <c r="AO49" s="14">
        <v>7</v>
      </c>
      <c r="AP49" s="14">
        <v>1000</v>
      </c>
      <c r="AQ49" s="14" t="s">
        <v>42</v>
      </c>
      <c r="AR49" s="14" t="s">
        <v>38</v>
      </c>
      <c r="AS49" s="34"/>
      <c r="AT49" s="34"/>
      <c r="AU49" s="14" t="s">
        <v>35</v>
      </c>
      <c r="AV49" s="14" t="s">
        <v>38</v>
      </c>
      <c r="AW49" s="14" t="s">
        <v>38</v>
      </c>
      <c r="AX49" s="29">
        <v>100</v>
      </c>
      <c r="AY49" s="29">
        <v>10000</v>
      </c>
      <c r="AZ49" s="29">
        <v>120</v>
      </c>
      <c r="BA49" s="29">
        <v>10000</v>
      </c>
      <c r="BB49" s="14" t="s">
        <v>42</v>
      </c>
      <c r="BC49" s="14">
        <v>2</v>
      </c>
      <c r="BD49" s="14">
        <v>0</v>
      </c>
      <c r="BE49" s="14" t="s">
        <v>40</v>
      </c>
      <c r="BF49" s="35" t="s">
        <v>163</v>
      </c>
      <c r="BG49" s="36">
        <f>T49/100*(44)*12.91</f>
        <v>41923.05612</v>
      </c>
      <c r="BH49" s="36">
        <f>T49/100*(56)*25.82</f>
        <v>106713.23376</v>
      </c>
      <c r="BI49" s="37">
        <f t="shared" si="0"/>
        <v>148636.28988</v>
      </c>
      <c r="BJ49" s="36">
        <v>53060</v>
      </c>
      <c r="BK49" s="37">
        <f>BJ49+BI49</f>
        <v>201696.28988</v>
      </c>
      <c r="BL49" s="38">
        <v>0</v>
      </c>
      <c r="BM49" s="38">
        <f t="shared" si="1"/>
        <v>0</v>
      </c>
      <c r="BN49" s="37">
        <v>71428.57142857143</v>
      </c>
    </row>
    <row r="50" spans="1:66" s="17" customFormat="1" ht="30">
      <c r="A50" s="12" t="s">
        <v>164</v>
      </c>
      <c r="B50" s="2">
        <v>687</v>
      </c>
      <c r="C50" s="3" t="s">
        <v>33</v>
      </c>
      <c r="D50" s="10" t="s">
        <v>50</v>
      </c>
      <c r="E50" s="10"/>
      <c r="F50" s="11" t="s">
        <v>35</v>
      </c>
      <c r="G50" s="3" t="s">
        <v>36</v>
      </c>
      <c r="H50" s="14" t="s">
        <v>37</v>
      </c>
      <c r="I50" s="31" t="s">
        <v>465</v>
      </c>
      <c r="J50" s="31" t="s">
        <v>41</v>
      </c>
      <c r="K50" s="14" t="s">
        <v>472</v>
      </c>
      <c r="L50" s="18">
        <v>18209</v>
      </c>
      <c r="M50" s="18">
        <v>19023</v>
      </c>
      <c r="N50" s="18">
        <v>18468</v>
      </c>
      <c r="O50" s="18">
        <v>18990</v>
      </c>
      <c r="P50" s="18">
        <v>18028</v>
      </c>
      <c r="Q50" s="18">
        <v>19854</v>
      </c>
      <c r="R50" s="18">
        <v>23419</v>
      </c>
      <c r="S50" s="32">
        <f>(R50-Q50)/R50</f>
        <v>0.15222682437337204</v>
      </c>
      <c r="T50" s="18">
        <f>R50/100*73</f>
        <v>17095.87</v>
      </c>
      <c r="U50" s="14" t="s">
        <v>37</v>
      </c>
      <c r="V50" s="18">
        <v>21808</v>
      </c>
      <c r="W50" s="14" t="s">
        <v>40</v>
      </c>
      <c r="X50" s="18">
        <v>1611</v>
      </c>
      <c r="Y50" s="14" t="s">
        <v>40</v>
      </c>
      <c r="Z50" s="33" t="s">
        <v>41</v>
      </c>
      <c r="AA50" s="14" t="s">
        <v>35</v>
      </c>
      <c r="AB50" s="18">
        <v>52747</v>
      </c>
      <c r="AC50" s="14" t="s">
        <v>35</v>
      </c>
      <c r="AD50" s="18">
        <v>400</v>
      </c>
      <c r="AE50" s="18">
        <v>28</v>
      </c>
      <c r="AF50" s="18">
        <v>960</v>
      </c>
      <c r="AG50" s="48" t="s">
        <v>40</v>
      </c>
      <c r="AH50" s="48">
        <v>11</v>
      </c>
      <c r="AI50" s="49">
        <v>644</v>
      </c>
      <c r="AJ50" s="48">
        <v>19</v>
      </c>
      <c r="AK50" s="14" t="s">
        <v>40</v>
      </c>
      <c r="AL50" s="48">
        <v>64</v>
      </c>
      <c r="AM50" s="14">
        <v>824</v>
      </c>
      <c r="AN50" s="14" t="s">
        <v>40</v>
      </c>
      <c r="AO50" s="48">
        <v>0</v>
      </c>
      <c r="AP50" s="48">
        <v>0</v>
      </c>
      <c r="AQ50" s="14" t="s">
        <v>40</v>
      </c>
      <c r="AR50" s="14" t="s">
        <v>35</v>
      </c>
      <c r="AS50" s="34">
        <v>6.5</v>
      </c>
      <c r="AT50" s="34">
        <v>2</v>
      </c>
      <c r="AU50" s="14" t="s">
        <v>35</v>
      </c>
      <c r="AV50" s="14" t="s">
        <v>35</v>
      </c>
      <c r="AW50" s="14" t="s">
        <v>38</v>
      </c>
      <c r="AX50" s="29">
        <v>284</v>
      </c>
      <c r="AY50" s="29">
        <v>12497</v>
      </c>
      <c r="AZ50" s="29">
        <v>268</v>
      </c>
      <c r="BA50" s="29">
        <v>12743</v>
      </c>
      <c r="BB50" s="48" t="s">
        <v>40</v>
      </c>
      <c r="BC50" s="48">
        <v>17</v>
      </c>
      <c r="BD50" s="48">
        <v>10.2</v>
      </c>
      <c r="BE50" s="48" t="s">
        <v>40</v>
      </c>
      <c r="BF50" s="50" t="s">
        <v>38</v>
      </c>
      <c r="BG50" s="36">
        <f>T50/100*(44)*12.86</f>
        <v>96735.27080799999</v>
      </c>
      <c r="BH50" s="36">
        <f>T50/100*(56)*25.73</f>
        <v>246330.971656</v>
      </c>
      <c r="BI50" s="37">
        <f t="shared" si="0"/>
        <v>343066.242464</v>
      </c>
      <c r="BJ50" s="36">
        <v>357341</v>
      </c>
      <c r="BK50" s="37">
        <f>BJ50+BI50</f>
        <v>700407.242464</v>
      </c>
      <c r="BL50" s="38">
        <v>5.094899999999999</v>
      </c>
      <c r="BM50" s="38">
        <f t="shared" si="1"/>
        <v>15.294899999999998</v>
      </c>
      <c r="BN50" s="37">
        <v>91021.42857142857</v>
      </c>
    </row>
    <row r="51" spans="1:66" s="17" customFormat="1" ht="45">
      <c r="A51" s="3" t="s">
        <v>165</v>
      </c>
      <c r="B51" s="2">
        <v>2344</v>
      </c>
      <c r="C51" s="3" t="s">
        <v>33</v>
      </c>
      <c r="D51" s="3" t="s">
        <v>57</v>
      </c>
      <c r="E51" s="3"/>
      <c r="F51" s="11" t="s">
        <v>35</v>
      </c>
      <c r="G51" s="3" t="s">
        <v>36</v>
      </c>
      <c r="H51" s="14" t="s">
        <v>36</v>
      </c>
      <c r="I51" s="47" t="s">
        <v>468</v>
      </c>
      <c r="J51" s="47">
        <v>468</v>
      </c>
      <c r="K51" s="14" t="s">
        <v>471</v>
      </c>
      <c r="L51" s="18"/>
      <c r="M51" s="18"/>
      <c r="N51" s="18"/>
      <c r="O51" s="18"/>
      <c r="P51" s="18"/>
      <c r="Q51" s="18"/>
      <c r="R51" s="18">
        <v>270</v>
      </c>
      <c r="S51" s="32"/>
      <c r="T51" s="18">
        <f>R51/100*77</f>
        <v>207.9</v>
      </c>
      <c r="U51" s="14" t="s">
        <v>42</v>
      </c>
      <c r="V51" s="18">
        <v>250</v>
      </c>
      <c r="W51" s="14" t="s">
        <v>42</v>
      </c>
      <c r="X51" s="18">
        <v>20</v>
      </c>
      <c r="Y51" s="14" t="s">
        <v>42</v>
      </c>
      <c r="Z51" s="33" t="s">
        <v>37</v>
      </c>
      <c r="AA51" s="14" t="s">
        <v>35</v>
      </c>
      <c r="AB51" s="18">
        <v>4131</v>
      </c>
      <c r="AC51" s="14" t="s">
        <v>35</v>
      </c>
      <c r="AD51" s="18" t="s">
        <v>166</v>
      </c>
      <c r="AE51" s="18">
        <v>3</v>
      </c>
      <c r="AF51" s="18">
        <v>25</v>
      </c>
      <c r="AG51" s="14" t="s">
        <v>42</v>
      </c>
      <c r="AH51" s="14">
        <v>5</v>
      </c>
      <c r="AI51" s="20">
        <v>70</v>
      </c>
      <c r="AJ51" s="14">
        <v>8</v>
      </c>
      <c r="AK51" s="14" t="s">
        <v>42</v>
      </c>
      <c r="AL51" s="14">
        <v>12</v>
      </c>
      <c r="AM51" s="14">
        <v>65</v>
      </c>
      <c r="AN51" s="14" t="s">
        <v>42</v>
      </c>
      <c r="AO51" s="14">
        <v>10</v>
      </c>
      <c r="AP51" s="14">
        <v>40</v>
      </c>
      <c r="AQ51" s="14" t="s">
        <v>42</v>
      </c>
      <c r="AR51" s="14" t="s">
        <v>38</v>
      </c>
      <c r="AS51" s="34"/>
      <c r="AT51" s="34"/>
      <c r="AU51" s="14" t="s">
        <v>38</v>
      </c>
      <c r="AV51" s="14" t="s">
        <v>38</v>
      </c>
      <c r="AW51" s="14" t="s">
        <v>38</v>
      </c>
      <c r="AX51" s="29"/>
      <c r="AY51" s="29"/>
      <c r="AZ51" s="29">
        <v>22</v>
      </c>
      <c r="BA51" s="29">
        <v>1900</v>
      </c>
      <c r="BB51" s="14" t="s">
        <v>42</v>
      </c>
      <c r="BC51" s="14">
        <v>5</v>
      </c>
      <c r="BD51" s="14">
        <v>4.2</v>
      </c>
      <c r="BE51" s="14" t="s">
        <v>40</v>
      </c>
      <c r="BF51" s="35" t="s">
        <v>167</v>
      </c>
      <c r="BG51" s="36">
        <f>T51/100*(47)*11.29</f>
        <v>1103.17977</v>
      </c>
      <c r="BH51" s="36">
        <f>T51/100*(53)*22.59</f>
        <v>2489.12433</v>
      </c>
      <c r="BI51" s="37">
        <f t="shared" si="0"/>
        <v>3592.3041000000003</v>
      </c>
      <c r="BJ51" s="36">
        <v>82000</v>
      </c>
      <c r="BK51" s="37">
        <f>BJ51+BI51</f>
        <v>85592.3041</v>
      </c>
      <c r="BL51" s="38">
        <v>2.2396500000000006</v>
      </c>
      <c r="BM51" s="38">
        <f t="shared" si="1"/>
        <v>6.43965</v>
      </c>
      <c r="BN51" s="37">
        <v>13571.428571428572</v>
      </c>
    </row>
    <row r="52" spans="1:66" s="17" customFormat="1" ht="90">
      <c r="A52" s="3" t="s">
        <v>168</v>
      </c>
      <c r="B52" s="2">
        <v>742</v>
      </c>
      <c r="C52" s="3" t="s">
        <v>33</v>
      </c>
      <c r="D52" s="10" t="s">
        <v>34</v>
      </c>
      <c r="E52" s="10" t="s">
        <v>109</v>
      </c>
      <c r="F52" s="11" t="s">
        <v>35</v>
      </c>
      <c r="G52" s="3" t="s">
        <v>67</v>
      </c>
      <c r="H52" s="8" t="s">
        <v>67</v>
      </c>
      <c r="I52" s="31" t="s">
        <v>466</v>
      </c>
      <c r="J52" s="31" t="s">
        <v>434</v>
      </c>
      <c r="K52" s="8" t="s">
        <v>473</v>
      </c>
      <c r="L52" s="18"/>
      <c r="M52" s="18"/>
      <c r="N52" s="18">
        <v>69115</v>
      </c>
      <c r="O52" s="18">
        <v>68469</v>
      </c>
      <c r="P52" s="18">
        <v>61882</v>
      </c>
      <c r="Q52" s="18">
        <v>65884</v>
      </c>
      <c r="R52" s="18">
        <v>65327</v>
      </c>
      <c r="S52" s="32">
        <f>(R52-Q52)/R52</f>
        <v>-0.008526336736724479</v>
      </c>
      <c r="T52" s="18">
        <f>R52/100*68</f>
        <v>44422.36</v>
      </c>
      <c r="U52" s="8" t="s">
        <v>40</v>
      </c>
      <c r="V52" s="18">
        <v>36997</v>
      </c>
      <c r="W52" s="8" t="s">
        <v>40</v>
      </c>
      <c r="X52" s="18">
        <v>28330</v>
      </c>
      <c r="Y52" s="8" t="s">
        <v>40</v>
      </c>
      <c r="Z52" s="41" t="s">
        <v>435</v>
      </c>
      <c r="AA52" s="8" t="s">
        <v>35</v>
      </c>
      <c r="AB52" s="18" t="s">
        <v>37</v>
      </c>
      <c r="AC52" s="8" t="s">
        <v>35</v>
      </c>
      <c r="AD52" s="18">
        <v>7554</v>
      </c>
      <c r="AE52" s="18">
        <v>244</v>
      </c>
      <c r="AF52" s="18">
        <v>9378</v>
      </c>
      <c r="AG52" s="45" t="s">
        <v>40</v>
      </c>
      <c r="AH52" s="8">
        <v>0</v>
      </c>
      <c r="AI52" s="42">
        <v>0</v>
      </c>
      <c r="AJ52" s="8">
        <v>216</v>
      </c>
      <c r="AK52" s="8" t="s">
        <v>40</v>
      </c>
      <c r="AL52" s="8">
        <v>308</v>
      </c>
      <c r="AM52" s="8">
        <v>16798</v>
      </c>
      <c r="AN52" s="8" t="s">
        <v>40</v>
      </c>
      <c r="AO52" s="8">
        <v>1</v>
      </c>
      <c r="AP52" s="8">
        <v>785</v>
      </c>
      <c r="AQ52" s="8" t="s">
        <v>40</v>
      </c>
      <c r="AR52" s="8" t="s">
        <v>35</v>
      </c>
      <c r="AS52" s="34">
        <v>11.5</v>
      </c>
      <c r="AT52" s="34">
        <v>9.8</v>
      </c>
      <c r="AU52" s="8" t="s">
        <v>35</v>
      </c>
      <c r="AV52" s="8" t="s">
        <v>35</v>
      </c>
      <c r="AW52" s="8" t="s">
        <v>38</v>
      </c>
      <c r="AX52" s="29"/>
      <c r="AY52" s="29"/>
      <c r="AZ52" s="29" t="s">
        <v>424</v>
      </c>
      <c r="BA52" s="29" t="s">
        <v>424</v>
      </c>
      <c r="BB52" s="45" t="s">
        <v>37</v>
      </c>
      <c r="BC52" s="45" t="s">
        <v>424</v>
      </c>
      <c r="BD52" s="45" t="s">
        <v>424</v>
      </c>
      <c r="BE52" s="45" t="s">
        <v>37</v>
      </c>
      <c r="BF52" s="46" t="s">
        <v>436</v>
      </c>
      <c r="BG52" s="36">
        <f>T52/100*(31)*14.08</f>
        <v>193894.71692800004</v>
      </c>
      <c r="BH52" s="36">
        <f>T52/100*(69)*28.16</f>
        <v>863144.2237440001</v>
      </c>
      <c r="BI52" s="37">
        <f t="shared" si="0"/>
        <v>1057038.9406720002</v>
      </c>
      <c r="BJ52" s="36"/>
      <c r="BK52" s="37">
        <f>BJ52+BI52</f>
        <v>1057038.9406720002</v>
      </c>
      <c r="BL52" s="44"/>
      <c r="BM52" s="38"/>
      <c r="BN52" s="37"/>
    </row>
    <row r="53" spans="1:66" s="17" customFormat="1" ht="46.5" customHeight="1">
      <c r="A53" s="12" t="s">
        <v>169</v>
      </c>
      <c r="B53" s="2">
        <v>811</v>
      </c>
      <c r="C53" s="3" t="s">
        <v>33</v>
      </c>
      <c r="D53" s="10" t="s">
        <v>50</v>
      </c>
      <c r="E53" s="10"/>
      <c r="F53" s="11"/>
      <c r="G53" s="3" t="s">
        <v>36</v>
      </c>
      <c r="H53" s="14"/>
      <c r="I53" s="39"/>
      <c r="J53" s="39"/>
      <c r="K53" s="14"/>
      <c r="L53" s="18">
        <v>1690</v>
      </c>
      <c r="M53" s="18">
        <v>1670</v>
      </c>
      <c r="N53" s="18">
        <v>1833</v>
      </c>
      <c r="O53" s="18">
        <v>2476</v>
      </c>
      <c r="P53" s="18">
        <v>1022</v>
      </c>
      <c r="Q53" s="18">
        <v>1520</v>
      </c>
      <c r="R53" s="18"/>
      <c r="S53" s="32"/>
      <c r="T53" s="18"/>
      <c r="U53" s="14"/>
      <c r="V53" s="18"/>
      <c r="W53" s="14"/>
      <c r="X53" s="18"/>
      <c r="Y53" s="14"/>
      <c r="Z53" s="33"/>
      <c r="AA53" s="14" t="s">
        <v>35</v>
      </c>
      <c r="AB53" s="18"/>
      <c r="AC53" s="14"/>
      <c r="AD53" s="18"/>
      <c r="AE53" s="18"/>
      <c r="AF53" s="18"/>
      <c r="AG53" s="14"/>
      <c r="AH53" s="14"/>
      <c r="AI53" s="20"/>
      <c r="AJ53" s="14"/>
      <c r="AK53" s="14"/>
      <c r="AL53" s="14"/>
      <c r="AM53" s="14"/>
      <c r="AN53" s="14"/>
      <c r="AO53" s="14"/>
      <c r="AP53" s="14"/>
      <c r="AQ53" s="14"/>
      <c r="AR53" s="14" t="s">
        <v>38</v>
      </c>
      <c r="AS53" s="34"/>
      <c r="AT53" s="34"/>
      <c r="AU53" s="14" t="s">
        <v>38</v>
      </c>
      <c r="AV53" s="14"/>
      <c r="AW53" s="14"/>
      <c r="AX53" s="29">
        <v>25</v>
      </c>
      <c r="AY53" s="29">
        <v>2500</v>
      </c>
      <c r="AZ53" s="29"/>
      <c r="BA53" s="29"/>
      <c r="BB53" s="14"/>
      <c r="BC53" s="14"/>
      <c r="BD53" s="14"/>
      <c r="BE53" s="14"/>
      <c r="BF53" s="35"/>
      <c r="BG53" s="36"/>
      <c r="BH53" s="36"/>
      <c r="BI53" s="37"/>
      <c r="BJ53" s="36"/>
      <c r="BK53" s="37"/>
      <c r="BL53" s="38"/>
      <c r="BM53" s="38">
        <f t="shared" si="1"/>
        <v>0</v>
      </c>
      <c r="BN53" s="37"/>
    </row>
    <row r="54" spans="1:66" s="17" customFormat="1" ht="93" customHeight="1">
      <c r="A54" s="3" t="s">
        <v>170</v>
      </c>
      <c r="B54" s="2">
        <v>688</v>
      </c>
      <c r="C54" s="3" t="s">
        <v>60</v>
      </c>
      <c r="D54" s="3" t="s">
        <v>61</v>
      </c>
      <c r="E54" s="3"/>
      <c r="F54" s="11"/>
      <c r="G54" s="3" t="s">
        <v>36</v>
      </c>
      <c r="H54" s="14"/>
      <c r="I54" s="39"/>
      <c r="J54" s="39"/>
      <c r="K54" s="14"/>
      <c r="L54" s="18"/>
      <c r="M54" s="18"/>
      <c r="N54" s="18"/>
      <c r="O54" s="18"/>
      <c r="P54" s="18">
        <v>12147</v>
      </c>
      <c r="Q54" s="18">
        <v>15462</v>
      </c>
      <c r="R54" s="18"/>
      <c r="S54" s="32"/>
      <c r="T54" s="18"/>
      <c r="U54" s="14"/>
      <c r="V54" s="18"/>
      <c r="W54" s="14"/>
      <c r="X54" s="18"/>
      <c r="Y54" s="14"/>
      <c r="Z54" s="33"/>
      <c r="AA54" s="14" t="s">
        <v>35</v>
      </c>
      <c r="AB54" s="18"/>
      <c r="AC54" s="14"/>
      <c r="AD54" s="18"/>
      <c r="AE54" s="18"/>
      <c r="AF54" s="18"/>
      <c r="AG54" s="14"/>
      <c r="AH54" s="14"/>
      <c r="AI54" s="20"/>
      <c r="AJ54" s="14"/>
      <c r="AK54" s="14"/>
      <c r="AL54" s="14"/>
      <c r="AM54" s="14"/>
      <c r="AN54" s="14"/>
      <c r="AO54" s="14"/>
      <c r="AP54" s="14"/>
      <c r="AQ54" s="14"/>
      <c r="AR54" s="14" t="s">
        <v>35</v>
      </c>
      <c r="AS54" s="34">
        <v>2</v>
      </c>
      <c r="AT54" s="34">
        <v>1</v>
      </c>
      <c r="AU54" s="14" t="s">
        <v>35</v>
      </c>
      <c r="AV54" s="14"/>
      <c r="AW54" s="14"/>
      <c r="AX54" s="29">
        <v>14</v>
      </c>
      <c r="AY54" s="29">
        <v>2500</v>
      </c>
      <c r="AZ54" s="29"/>
      <c r="BA54" s="29"/>
      <c r="BB54" s="14"/>
      <c r="BC54" s="14"/>
      <c r="BD54" s="14"/>
      <c r="BE54" s="14"/>
      <c r="BF54" s="35"/>
      <c r="BG54" s="36"/>
      <c r="BH54" s="36"/>
      <c r="BI54" s="37"/>
      <c r="BJ54" s="36"/>
      <c r="BK54" s="37"/>
      <c r="BL54" s="38"/>
      <c r="BM54" s="38">
        <f t="shared" si="1"/>
        <v>0</v>
      </c>
      <c r="BN54" s="37"/>
    </row>
    <row r="55" spans="1:66" s="17" customFormat="1" ht="45">
      <c r="A55" s="12" t="s">
        <v>171</v>
      </c>
      <c r="B55" s="2">
        <v>809</v>
      </c>
      <c r="C55" s="3" t="s">
        <v>33</v>
      </c>
      <c r="D55" s="10" t="s">
        <v>50</v>
      </c>
      <c r="E55" s="10"/>
      <c r="F55" s="11" t="s">
        <v>35</v>
      </c>
      <c r="G55" s="3" t="s">
        <v>36</v>
      </c>
      <c r="H55" s="14" t="s">
        <v>36</v>
      </c>
      <c r="I55" s="31" t="s">
        <v>465</v>
      </c>
      <c r="J55" s="31">
        <v>425</v>
      </c>
      <c r="K55" s="14" t="s">
        <v>471</v>
      </c>
      <c r="L55" s="18">
        <v>1378</v>
      </c>
      <c r="M55" s="18">
        <v>1723</v>
      </c>
      <c r="N55" s="18">
        <v>1137</v>
      </c>
      <c r="O55" s="18">
        <v>1353</v>
      </c>
      <c r="P55" s="18">
        <v>1091</v>
      </c>
      <c r="Q55" s="18">
        <v>1204</v>
      </c>
      <c r="R55" s="18">
        <v>1371</v>
      </c>
      <c r="S55" s="32">
        <f>(R55-Q55)/R55</f>
        <v>0.12180889861415026</v>
      </c>
      <c r="T55" s="18">
        <f>R55/100*77</f>
        <v>1055.67</v>
      </c>
      <c r="U55" s="14" t="s">
        <v>40</v>
      </c>
      <c r="V55" s="18">
        <v>1266</v>
      </c>
      <c r="W55" s="14" t="s">
        <v>40</v>
      </c>
      <c r="X55" s="18">
        <v>105</v>
      </c>
      <c r="Y55" s="14" t="s">
        <v>40</v>
      </c>
      <c r="Z55" s="33" t="s">
        <v>172</v>
      </c>
      <c r="AA55" s="14" t="s">
        <v>35</v>
      </c>
      <c r="AB55" s="18" t="s">
        <v>173</v>
      </c>
      <c r="AC55" s="14" t="s">
        <v>38</v>
      </c>
      <c r="AD55" s="18" t="s">
        <v>37</v>
      </c>
      <c r="AE55" s="18">
        <v>5</v>
      </c>
      <c r="AF55" s="18">
        <v>105</v>
      </c>
      <c r="AG55" s="14" t="s">
        <v>40</v>
      </c>
      <c r="AH55" s="14">
        <v>1</v>
      </c>
      <c r="AI55" s="20">
        <v>30</v>
      </c>
      <c r="AJ55" s="14">
        <v>4</v>
      </c>
      <c r="AK55" s="14" t="s">
        <v>40</v>
      </c>
      <c r="AL55" s="14">
        <v>10</v>
      </c>
      <c r="AM55" s="14">
        <v>348</v>
      </c>
      <c r="AN55" s="14" t="s">
        <v>42</v>
      </c>
      <c r="AO55" s="14">
        <v>4</v>
      </c>
      <c r="AP55" s="14">
        <v>73</v>
      </c>
      <c r="AQ55" s="14" t="s">
        <v>42</v>
      </c>
      <c r="AR55" s="14" t="s">
        <v>38</v>
      </c>
      <c r="AS55" s="34"/>
      <c r="AT55" s="34"/>
      <c r="AU55" s="14" t="s">
        <v>38</v>
      </c>
      <c r="AV55" s="14" t="s">
        <v>38</v>
      </c>
      <c r="AW55" s="14" t="s">
        <v>38</v>
      </c>
      <c r="AX55" s="29">
        <v>22</v>
      </c>
      <c r="AY55" s="29">
        <v>4538</v>
      </c>
      <c r="AZ55" s="29">
        <v>17</v>
      </c>
      <c r="BA55" s="29">
        <v>6500</v>
      </c>
      <c r="BB55" s="14" t="s">
        <v>42</v>
      </c>
      <c r="BC55" s="14">
        <v>0</v>
      </c>
      <c r="BD55" s="14">
        <v>0</v>
      </c>
      <c r="BE55" s="14" t="s">
        <v>40</v>
      </c>
      <c r="BF55" s="35" t="s">
        <v>37</v>
      </c>
      <c r="BG55" s="36">
        <f>T55/100*(47)*12.86</f>
        <v>6380.680614</v>
      </c>
      <c r="BH55" s="36">
        <f>T55/100*(53)*25.73</f>
        <v>14396.066223000002</v>
      </c>
      <c r="BI55" s="37">
        <f t="shared" si="0"/>
        <v>20776.746837000002</v>
      </c>
      <c r="BJ55" s="36">
        <v>3812.35</v>
      </c>
      <c r="BK55" s="37">
        <f>BJ55+BI55</f>
        <v>24589.096837</v>
      </c>
      <c r="BL55" s="38">
        <v>0</v>
      </c>
      <c r="BM55" s="38">
        <f t="shared" si="1"/>
        <v>0</v>
      </c>
      <c r="BN55" s="37">
        <v>46428.57142857143</v>
      </c>
    </row>
    <row r="56" spans="1:66" s="17" customFormat="1" ht="30">
      <c r="A56" s="3" t="s">
        <v>174</v>
      </c>
      <c r="B56" s="2">
        <v>807</v>
      </c>
      <c r="C56" s="3" t="s">
        <v>33</v>
      </c>
      <c r="D56" s="3" t="s">
        <v>57</v>
      </c>
      <c r="E56" s="3"/>
      <c r="F56" s="11" t="s">
        <v>35</v>
      </c>
      <c r="G56" s="3" t="s">
        <v>36</v>
      </c>
      <c r="H56" s="14" t="s">
        <v>36</v>
      </c>
      <c r="I56" s="31" t="s">
        <v>465</v>
      </c>
      <c r="J56" s="31">
        <v>1785</v>
      </c>
      <c r="K56" s="14" t="s">
        <v>472</v>
      </c>
      <c r="L56" s="18"/>
      <c r="M56" s="18"/>
      <c r="N56" s="18"/>
      <c r="O56" s="18"/>
      <c r="P56" s="18">
        <v>34456</v>
      </c>
      <c r="Q56" s="18">
        <v>36558</v>
      </c>
      <c r="R56" s="18">
        <v>28940</v>
      </c>
      <c r="S56" s="32">
        <f>(R56-Q56)/R56</f>
        <v>-0.26323427781617137</v>
      </c>
      <c r="T56" s="18">
        <f>R56/100*73</f>
        <v>21126.199999999997</v>
      </c>
      <c r="U56" s="14" t="s">
        <v>40</v>
      </c>
      <c r="V56" s="18">
        <v>18656</v>
      </c>
      <c r="W56" s="14" t="s">
        <v>40</v>
      </c>
      <c r="X56" s="18">
        <v>10284</v>
      </c>
      <c r="Y56" s="14" t="s">
        <v>40</v>
      </c>
      <c r="Z56" s="33" t="s">
        <v>124</v>
      </c>
      <c r="AA56" s="14" t="s">
        <v>35</v>
      </c>
      <c r="AB56" s="18">
        <v>14233</v>
      </c>
      <c r="AC56" s="14" t="s">
        <v>35</v>
      </c>
      <c r="AD56" s="18">
        <v>3715</v>
      </c>
      <c r="AE56" s="18">
        <v>56</v>
      </c>
      <c r="AF56" s="18">
        <v>1231</v>
      </c>
      <c r="AG56" s="14" t="s">
        <v>40</v>
      </c>
      <c r="AH56" s="14">
        <v>102</v>
      </c>
      <c r="AI56" s="20">
        <v>4106</v>
      </c>
      <c r="AJ56" s="14">
        <v>74</v>
      </c>
      <c r="AK56" s="14" t="s">
        <v>40</v>
      </c>
      <c r="AL56" s="14">
        <v>88</v>
      </c>
      <c r="AM56" s="14">
        <v>2674</v>
      </c>
      <c r="AN56" s="14" t="s">
        <v>40</v>
      </c>
      <c r="AO56" s="14">
        <v>18</v>
      </c>
      <c r="AP56" s="14">
        <v>445</v>
      </c>
      <c r="AQ56" s="14" t="s">
        <v>40</v>
      </c>
      <c r="AR56" s="14" t="s">
        <v>38</v>
      </c>
      <c r="AS56" s="34"/>
      <c r="AT56" s="34"/>
      <c r="AU56" s="14" t="s">
        <v>35</v>
      </c>
      <c r="AV56" s="14" t="s">
        <v>38</v>
      </c>
      <c r="AW56" s="14" t="s">
        <v>38</v>
      </c>
      <c r="AX56" s="29">
        <v>40</v>
      </c>
      <c r="AY56" s="29"/>
      <c r="AZ56" s="29">
        <v>47</v>
      </c>
      <c r="BA56" s="29">
        <v>3451</v>
      </c>
      <c r="BB56" s="14" t="s">
        <v>42</v>
      </c>
      <c r="BC56" s="14">
        <v>11</v>
      </c>
      <c r="BD56" s="14">
        <v>5.9</v>
      </c>
      <c r="BE56" s="14" t="s">
        <v>40</v>
      </c>
      <c r="BF56" s="35" t="s">
        <v>46</v>
      </c>
      <c r="BG56" s="36">
        <f>T56/100*(44)*11.29</f>
        <v>104946.51111999998</v>
      </c>
      <c r="BH56" s="36">
        <f>T56/100*(56)*22.59</f>
        <v>267254.88048</v>
      </c>
      <c r="BI56" s="37">
        <f t="shared" si="0"/>
        <v>372201.3916</v>
      </c>
      <c r="BJ56" s="36">
        <v>122678</v>
      </c>
      <c r="BK56" s="37">
        <f>BJ56+BI56</f>
        <v>494879.3916</v>
      </c>
      <c r="BL56" s="38">
        <v>2.947050000000001</v>
      </c>
      <c r="BM56" s="38">
        <f t="shared" si="1"/>
        <v>8.847050000000001</v>
      </c>
      <c r="BN56" s="37">
        <v>24650</v>
      </c>
    </row>
    <row r="57" spans="1:66" s="17" customFormat="1" ht="120">
      <c r="A57" s="3" t="s">
        <v>501</v>
      </c>
      <c r="B57" s="2">
        <v>573</v>
      </c>
      <c r="C57" s="3" t="s">
        <v>60</v>
      </c>
      <c r="D57" s="3" t="s">
        <v>57</v>
      </c>
      <c r="E57" s="3" t="s">
        <v>175</v>
      </c>
      <c r="F57" s="11" t="s">
        <v>176</v>
      </c>
      <c r="G57" s="3" t="s">
        <v>67</v>
      </c>
      <c r="H57" s="14" t="s">
        <v>37</v>
      </c>
      <c r="I57" s="31" t="s">
        <v>204</v>
      </c>
      <c r="J57" s="31" t="s">
        <v>177</v>
      </c>
      <c r="K57" s="14" t="s">
        <v>46</v>
      </c>
      <c r="L57" s="18">
        <v>16006</v>
      </c>
      <c r="M57" s="18">
        <v>18777</v>
      </c>
      <c r="N57" s="18">
        <v>15385</v>
      </c>
      <c r="O57" s="18">
        <v>15024</v>
      </c>
      <c r="P57" s="18">
        <v>3677</v>
      </c>
      <c r="Q57" s="18"/>
      <c r="R57" s="18" t="s">
        <v>204</v>
      </c>
      <c r="S57" s="32"/>
      <c r="T57" s="18"/>
      <c r="U57" s="14" t="s">
        <v>40</v>
      </c>
      <c r="V57" s="18" t="s">
        <v>177</v>
      </c>
      <c r="W57" s="14" t="s">
        <v>40</v>
      </c>
      <c r="X57" s="18" t="s">
        <v>177</v>
      </c>
      <c r="Y57" s="14" t="s">
        <v>40</v>
      </c>
      <c r="Z57" s="33" t="s">
        <v>178</v>
      </c>
      <c r="AA57" s="14" t="s">
        <v>35</v>
      </c>
      <c r="AB57" s="18" t="s">
        <v>41</v>
      </c>
      <c r="AC57" s="14" t="s">
        <v>35</v>
      </c>
      <c r="AD57" s="18" t="s">
        <v>41</v>
      </c>
      <c r="AE57" s="18">
        <v>0</v>
      </c>
      <c r="AF57" s="18">
        <v>0</v>
      </c>
      <c r="AG57" s="14" t="s">
        <v>37</v>
      </c>
      <c r="AH57" s="14">
        <v>628</v>
      </c>
      <c r="AI57" s="20">
        <v>19480</v>
      </c>
      <c r="AJ57" s="14">
        <v>39</v>
      </c>
      <c r="AK57" s="14" t="s">
        <v>37</v>
      </c>
      <c r="AL57" s="14">
        <v>0</v>
      </c>
      <c r="AM57" s="14">
        <v>0</v>
      </c>
      <c r="AN57" s="14" t="s">
        <v>37</v>
      </c>
      <c r="AO57" s="14">
        <v>30</v>
      </c>
      <c r="AP57" s="29">
        <v>2000</v>
      </c>
      <c r="AQ57" s="14" t="s">
        <v>42</v>
      </c>
      <c r="AR57" s="14" t="s">
        <v>204</v>
      </c>
      <c r="AS57" s="34"/>
      <c r="AT57" s="34"/>
      <c r="AU57" s="14" t="s">
        <v>35</v>
      </c>
      <c r="AV57" s="14" t="s">
        <v>35</v>
      </c>
      <c r="AW57" s="14" t="s">
        <v>38</v>
      </c>
      <c r="AX57" s="29"/>
      <c r="AY57" s="29"/>
      <c r="AZ57" s="29">
        <v>43</v>
      </c>
      <c r="BA57" s="29">
        <v>774</v>
      </c>
      <c r="BB57" s="14" t="s">
        <v>40</v>
      </c>
      <c r="BC57" s="14">
        <v>11</v>
      </c>
      <c r="BD57" s="14">
        <v>8</v>
      </c>
      <c r="BE57" s="14" t="s">
        <v>40</v>
      </c>
      <c r="BF57" s="35" t="s">
        <v>179</v>
      </c>
      <c r="BG57" s="36">
        <f>T57/100*(47)*11.29</f>
        <v>0</v>
      </c>
      <c r="BH57" s="36">
        <f>T57/100*(53)*22.59</f>
        <v>0</v>
      </c>
      <c r="BI57" s="37"/>
      <c r="BJ57" s="36">
        <v>455881</v>
      </c>
      <c r="BK57" s="37">
        <f>BJ57+BI57</f>
        <v>455881</v>
      </c>
      <c r="BL57" s="38">
        <v>3.9959999999999996</v>
      </c>
      <c r="BM57" s="38">
        <f t="shared" si="1"/>
        <v>11.995999999999999</v>
      </c>
      <c r="BN57" s="37">
        <v>5528.571428571428</v>
      </c>
    </row>
    <row r="58" spans="1:66" s="17" customFormat="1" ht="90">
      <c r="A58" s="12" t="s">
        <v>180</v>
      </c>
      <c r="B58" s="2">
        <v>2140</v>
      </c>
      <c r="C58" s="3" t="s">
        <v>181</v>
      </c>
      <c r="D58" s="10" t="s">
        <v>50</v>
      </c>
      <c r="E58" s="10"/>
      <c r="F58" s="11" t="s">
        <v>35</v>
      </c>
      <c r="G58" s="3" t="s">
        <v>36</v>
      </c>
      <c r="H58" s="14" t="s">
        <v>37</v>
      </c>
      <c r="I58" s="31" t="s">
        <v>466</v>
      </c>
      <c r="J58" s="31">
        <v>600</v>
      </c>
      <c r="K58" s="14" t="s">
        <v>471</v>
      </c>
      <c r="L58" s="18">
        <v>5300</v>
      </c>
      <c r="M58" s="18">
        <v>4000</v>
      </c>
      <c r="N58" s="18">
        <v>3421</v>
      </c>
      <c r="O58" s="18">
        <v>4060</v>
      </c>
      <c r="P58" s="18">
        <v>383354</v>
      </c>
      <c r="Q58" s="18"/>
      <c r="R58" s="18">
        <v>6133</v>
      </c>
      <c r="S58" s="32"/>
      <c r="T58" s="18">
        <f>R58/100*77</f>
        <v>4722.41</v>
      </c>
      <c r="U58" s="14" t="s">
        <v>40</v>
      </c>
      <c r="V58" s="18">
        <v>5749</v>
      </c>
      <c r="W58" s="14" t="s">
        <v>40</v>
      </c>
      <c r="X58" s="18">
        <v>384</v>
      </c>
      <c r="Y58" s="14" t="s">
        <v>40</v>
      </c>
      <c r="Z58" s="33" t="s">
        <v>182</v>
      </c>
      <c r="AA58" s="14" t="s">
        <v>35</v>
      </c>
      <c r="AB58" s="18" t="s">
        <v>183</v>
      </c>
      <c r="AC58" s="14" t="s">
        <v>35</v>
      </c>
      <c r="AD58" s="18">
        <v>750</v>
      </c>
      <c r="AE58" s="18">
        <v>11</v>
      </c>
      <c r="AF58" s="18">
        <v>560</v>
      </c>
      <c r="AG58" s="14" t="s">
        <v>40</v>
      </c>
      <c r="AH58" s="14">
        <v>0</v>
      </c>
      <c r="AI58" s="20">
        <v>0</v>
      </c>
      <c r="AJ58" s="14">
        <v>1</v>
      </c>
      <c r="AK58" s="14" t="s">
        <v>40</v>
      </c>
      <c r="AL58" s="14">
        <v>10</v>
      </c>
      <c r="AM58" s="14">
        <v>725</v>
      </c>
      <c r="AN58" s="14" t="s">
        <v>42</v>
      </c>
      <c r="AO58" s="14">
        <v>0</v>
      </c>
      <c r="AP58" s="14">
        <v>16</v>
      </c>
      <c r="AQ58" s="14" t="s">
        <v>42</v>
      </c>
      <c r="AR58" s="14" t="s">
        <v>38</v>
      </c>
      <c r="AS58" s="34"/>
      <c r="AT58" s="34"/>
      <c r="AU58" s="14" t="s">
        <v>35</v>
      </c>
      <c r="AV58" s="14" t="s">
        <v>38</v>
      </c>
      <c r="AW58" s="14" t="s">
        <v>38</v>
      </c>
      <c r="AX58" s="29"/>
      <c r="AY58" s="29"/>
      <c r="AZ58" s="29">
        <v>47</v>
      </c>
      <c r="BA58" s="29">
        <v>5389</v>
      </c>
      <c r="BB58" s="14" t="s">
        <v>42</v>
      </c>
      <c r="BC58" s="14">
        <v>0</v>
      </c>
      <c r="BD58" s="14">
        <v>0</v>
      </c>
      <c r="BE58" s="14" t="s">
        <v>40</v>
      </c>
      <c r="BF58" s="35" t="s">
        <v>184</v>
      </c>
      <c r="BG58" s="36">
        <f>T58/100*(47)*12.86</f>
        <v>28543.190522</v>
      </c>
      <c r="BH58" s="36">
        <f>T58/100*(53)*25.73</f>
        <v>64399.032929</v>
      </c>
      <c r="BI58" s="37">
        <f t="shared" si="0"/>
        <v>92942.223451</v>
      </c>
      <c r="BJ58" s="36">
        <v>12093.16</v>
      </c>
      <c r="BK58" s="37">
        <f>BJ58+BI58</f>
        <v>105035.383451</v>
      </c>
      <c r="BL58" s="38">
        <v>0</v>
      </c>
      <c r="BM58" s="38">
        <f t="shared" si="1"/>
        <v>0</v>
      </c>
      <c r="BN58" s="37">
        <v>38492.857142857145</v>
      </c>
    </row>
    <row r="59" spans="1:66" s="17" customFormat="1" ht="30">
      <c r="A59" s="3" t="s">
        <v>185</v>
      </c>
      <c r="B59" s="2">
        <v>678</v>
      </c>
      <c r="C59" s="3" t="s">
        <v>33</v>
      </c>
      <c r="D59" s="3" t="s">
        <v>61</v>
      </c>
      <c r="E59" s="3" t="s">
        <v>100</v>
      </c>
      <c r="F59" s="11" t="s">
        <v>35</v>
      </c>
      <c r="G59" s="3" t="s">
        <v>67</v>
      </c>
      <c r="H59" s="14" t="s">
        <v>67</v>
      </c>
      <c r="I59" s="31" t="s">
        <v>465</v>
      </c>
      <c r="J59" s="31">
        <v>2156</v>
      </c>
      <c r="K59" s="14" t="s">
        <v>473</v>
      </c>
      <c r="L59" s="18">
        <v>39883</v>
      </c>
      <c r="M59" s="18">
        <v>38991</v>
      </c>
      <c r="N59" s="18">
        <v>37795</v>
      </c>
      <c r="O59" s="18">
        <v>34777</v>
      </c>
      <c r="P59" s="18">
        <v>33880</v>
      </c>
      <c r="Q59" s="18">
        <v>35852</v>
      </c>
      <c r="R59" s="18">
        <v>58923</v>
      </c>
      <c r="S59" s="32">
        <f>(R59-Q59)/R59</f>
        <v>0.3915448975781953</v>
      </c>
      <c r="T59" s="18">
        <f>R59/100*68</f>
        <v>40067.64</v>
      </c>
      <c r="U59" s="14" t="s">
        <v>40</v>
      </c>
      <c r="V59" s="18">
        <v>46265</v>
      </c>
      <c r="W59" s="14" t="s">
        <v>40</v>
      </c>
      <c r="X59" s="18">
        <v>12658</v>
      </c>
      <c r="Y59" s="14" t="s">
        <v>40</v>
      </c>
      <c r="Z59" s="33" t="s">
        <v>38</v>
      </c>
      <c r="AA59" s="14" t="s">
        <v>35</v>
      </c>
      <c r="AB59" s="18" t="s">
        <v>37</v>
      </c>
      <c r="AC59" s="14" t="s">
        <v>35</v>
      </c>
      <c r="AD59" s="18" t="s">
        <v>37</v>
      </c>
      <c r="AE59" s="18">
        <v>51</v>
      </c>
      <c r="AF59" s="18">
        <v>1537</v>
      </c>
      <c r="AG59" s="14" t="s">
        <v>42</v>
      </c>
      <c r="AH59" s="14">
        <v>27</v>
      </c>
      <c r="AI59" s="20">
        <v>800</v>
      </c>
      <c r="AJ59" s="14">
        <v>23</v>
      </c>
      <c r="AK59" s="14" t="s">
        <v>42</v>
      </c>
      <c r="AL59" s="14" t="s">
        <v>37</v>
      </c>
      <c r="AM59" s="14" t="s">
        <v>37</v>
      </c>
      <c r="AN59" s="14" t="s">
        <v>37</v>
      </c>
      <c r="AO59" s="14" t="s">
        <v>37</v>
      </c>
      <c r="AP59" s="14" t="s">
        <v>37</v>
      </c>
      <c r="AQ59" s="14" t="s">
        <v>37</v>
      </c>
      <c r="AR59" s="14" t="s">
        <v>38</v>
      </c>
      <c r="AS59" s="34"/>
      <c r="AT59" s="34"/>
      <c r="AU59" s="14" t="s">
        <v>38</v>
      </c>
      <c r="AV59" s="14" t="s">
        <v>38</v>
      </c>
      <c r="AW59" s="14" t="s">
        <v>38</v>
      </c>
      <c r="AX59" s="29"/>
      <c r="AY59" s="29"/>
      <c r="AZ59" s="29" t="s">
        <v>100</v>
      </c>
      <c r="BA59" s="29" t="s">
        <v>100</v>
      </c>
      <c r="BB59" s="14" t="s">
        <v>37</v>
      </c>
      <c r="BC59" s="14" t="s">
        <v>100</v>
      </c>
      <c r="BD59" s="14" t="s">
        <v>100</v>
      </c>
      <c r="BE59" s="14" t="s">
        <v>37</v>
      </c>
      <c r="BF59" s="35" t="s">
        <v>37</v>
      </c>
      <c r="BG59" s="36">
        <f>T59/100*(31)*12.91</f>
        <v>160354.702044</v>
      </c>
      <c r="BH59" s="36">
        <f>T59/100*(69)*25.82</f>
        <v>713837.060712</v>
      </c>
      <c r="BI59" s="37">
        <f t="shared" si="0"/>
        <v>874191.762756</v>
      </c>
      <c r="BJ59" s="36"/>
      <c r="BK59" s="37">
        <f>BJ59+BI59</f>
        <v>874191.762756</v>
      </c>
      <c r="BL59" s="38"/>
      <c r="BM59" s="38"/>
      <c r="BN59" s="37"/>
    </row>
    <row r="60" spans="1:66" s="17" customFormat="1" ht="46.5" customHeight="1">
      <c r="A60" s="3" t="s">
        <v>186</v>
      </c>
      <c r="B60" s="2">
        <v>1756</v>
      </c>
      <c r="C60" s="3" t="s">
        <v>33</v>
      </c>
      <c r="D60" s="3" t="s">
        <v>50</v>
      </c>
      <c r="E60" s="3"/>
      <c r="F60" s="11"/>
      <c r="G60" s="3" t="s">
        <v>55</v>
      </c>
      <c r="H60" s="14"/>
      <c r="I60" s="39"/>
      <c r="J60" s="39"/>
      <c r="K60" s="14"/>
      <c r="L60" s="18"/>
      <c r="M60" s="18"/>
      <c r="N60" s="18"/>
      <c r="O60" s="18"/>
      <c r="P60" s="18"/>
      <c r="Q60" s="18"/>
      <c r="R60" s="18"/>
      <c r="S60" s="32"/>
      <c r="T60" s="18"/>
      <c r="U60" s="14"/>
      <c r="V60" s="18"/>
      <c r="W60" s="14"/>
      <c r="X60" s="18"/>
      <c r="Y60" s="14"/>
      <c r="Z60" s="33"/>
      <c r="AA60" s="14" t="s">
        <v>35</v>
      </c>
      <c r="AB60" s="18"/>
      <c r="AC60" s="14"/>
      <c r="AD60" s="18"/>
      <c r="AE60" s="18"/>
      <c r="AF60" s="18"/>
      <c r="AG60" s="14"/>
      <c r="AH60" s="14"/>
      <c r="AI60" s="20"/>
      <c r="AJ60" s="14"/>
      <c r="AK60" s="14"/>
      <c r="AL60" s="14"/>
      <c r="AM60" s="14"/>
      <c r="AN60" s="14"/>
      <c r="AO60" s="14"/>
      <c r="AP60" s="14"/>
      <c r="AQ60" s="14"/>
      <c r="AR60" s="14" t="s">
        <v>35</v>
      </c>
      <c r="AS60" s="34">
        <v>12.6</v>
      </c>
      <c r="AT60" s="34">
        <v>6.35</v>
      </c>
      <c r="AU60" s="14" t="s">
        <v>35</v>
      </c>
      <c r="AV60" s="14"/>
      <c r="AW60" s="14"/>
      <c r="AX60" s="29"/>
      <c r="AY60" s="29"/>
      <c r="AZ60" s="29"/>
      <c r="BA60" s="29"/>
      <c r="BB60" s="14"/>
      <c r="BC60" s="14"/>
      <c r="BD60" s="14"/>
      <c r="BE60" s="14"/>
      <c r="BF60" s="35"/>
      <c r="BG60" s="36"/>
      <c r="BH60" s="36"/>
      <c r="BI60" s="37"/>
      <c r="BJ60" s="36"/>
      <c r="BK60" s="37"/>
      <c r="BL60" s="38"/>
      <c r="BM60" s="38">
        <f t="shared" si="1"/>
        <v>0</v>
      </c>
      <c r="BN60" s="37"/>
    </row>
    <row r="61" spans="1:66" s="17" customFormat="1" ht="195">
      <c r="A61" s="13" t="s">
        <v>187</v>
      </c>
      <c r="B61" s="2">
        <v>2153</v>
      </c>
      <c r="C61" s="3" t="s">
        <v>33</v>
      </c>
      <c r="D61" s="16" t="s">
        <v>44</v>
      </c>
      <c r="E61" s="16"/>
      <c r="F61" s="11" t="s">
        <v>35</v>
      </c>
      <c r="G61" s="3" t="s">
        <v>188</v>
      </c>
      <c r="H61" s="14" t="s">
        <v>188</v>
      </c>
      <c r="I61" s="31" t="s">
        <v>465</v>
      </c>
      <c r="J61" s="31">
        <v>2600</v>
      </c>
      <c r="K61" s="14" t="s">
        <v>474</v>
      </c>
      <c r="L61" s="18">
        <v>401248</v>
      </c>
      <c r="M61" s="18">
        <v>425348</v>
      </c>
      <c r="N61" s="18">
        <v>403021</v>
      </c>
      <c r="O61" s="18">
        <v>382289</v>
      </c>
      <c r="P61" s="18">
        <v>422009</v>
      </c>
      <c r="Q61" s="18">
        <v>409960</v>
      </c>
      <c r="R61" s="18">
        <v>381830</v>
      </c>
      <c r="S61" s="32">
        <f>(R61-Q61)/R61</f>
        <v>-0.07367152921457193</v>
      </c>
      <c r="T61" s="18">
        <f>R61/100*68</f>
        <v>259644.40000000002</v>
      </c>
      <c r="U61" s="14" t="s">
        <v>40</v>
      </c>
      <c r="V61" s="18">
        <v>283554</v>
      </c>
      <c r="W61" s="14" t="s">
        <v>40</v>
      </c>
      <c r="X61" s="18">
        <v>98276</v>
      </c>
      <c r="Y61" s="14" t="s">
        <v>40</v>
      </c>
      <c r="Z61" s="33" t="s">
        <v>189</v>
      </c>
      <c r="AA61" s="14" t="s">
        <v>35</v>
      </c>
      <c r="AB61" s="18" t="s">
        <v>190</v>
      </c>
      <c r="AC61" s="14" t="s">
        <v>35</v>
      </c>
      <c r="AD61" s="18" t="s">
        <v>191</v>
      </c>
      <c r="AE61" s="18">
        <v>920</v>
      </c>
      <c r="AF61" s="18">
        <v>9080</v>
      </c>
      <c r="AG61" s="14" t="s">
        <v>40</v>
      </c>
      <c r="AH61" s="14">
        <v>1</v>
      </c>
      <c r="AI61" s="20">
        <v>150</v>
      </c>
      <c r="AJ61" s="14" t="s">
        <v>58</v>
      </c>
      <c r="AK61" s="14" t="s">
        <v>37</v>
      </c>
      <c r="AL61" s="14">
        <v>491</v>
      </c>
      <c r="AM61" s="14">
        <v>1922</v>
      </c>
      <c r="AN61" s="14" t="s">
        <v>40</v>
      </c>
      <c r="AO61" s="14" t="s">
        <v>58</v>
      </c>
      <c r="AP61" s="14" t="s">
        <v>58</v>
      </c>
      <c r="AQ61" s="14" t="s">
        <v>37</v>
      </c>
      <c r="AR61" s="14" t="s">
        <v>35</v>
      </c>
      <c r="AS61" s="34">
        <v>17.5</v>
      </c>
      <c r="AT61" s="34">
        <v>8.75</v>
      </c>
      <c r="AU61" s="14" t="s">
        <v>35</v>
      </c>
      <c r="AV61" s="14" t="s">
        <v>35</v>
      </c>
      <c r="AW61" s="14" t="s">
        <v>35</v>
      </c>
      <c r="AX61" s="29">
        <v>267</v>
      </c>
      <c r="AY61" s="29">
        <v>23124</v>
      </c>
      <c r="AZ61" s="29">
        <v>657</v>
      </c>
      <c r="BA61" s="29">
        <v>76132</v>
      </c>
      <c r="BB61" s="14" t="s">
        <v>40</v>
      </c>
      <c r="BC61" s="14" t="s">
        <v>192</v>
      </c>
      <c r="BD61" s="14" t="s">
        <v>37</v>
      </c>
      <c r="BE61" s="14" t="s">
        <v>37</v>
      </c>
      <c r="BF61" s="35" t="s">
        <v>193</v>
      </c>
      <c r="BG61" s="36">
        <f>T61/100*(31)*17.99</f>
        <v>1448010.85436</v>
      </c>
      <c r="BH61" s="36">
        <f>T61/100*(69)*35.98</f>
        <v>6445983.803280001</v>
      </c>
      <c r="BI61" s="37">
        <f t="shared" si="0"/>
        <v>7893994.657640001</v>
      </c>
      <c r="BJ61" s="36"/>
      <c r="BK61" s="37">
        <f>BJ61+BI61</f>
        <v>7893994.657640001</v>
      </c>
      <c r="BL61" s="38"/>
      <c r="BM61" s="38"/>
      <c r="BN61" s="37">
        <v>543800</v>
      </c>
    </row>
    <row r="62" spans="1:66" s="17" customFormat="1" ht="108.75" customHeight="1">
      <c r="A62" s="3" t="s">
        <v>463</v>
      </c>
      <c r="B62" s="2">
        <v>116</v>
      </c>
      <c r="C62" s="3" t="s">
        <v>194</v>
      </c>
      <c r="D62" s="3" t="s">
        <v>91</v>
      </c>
      <c r="E62" s="3"/>
      <c r="F62" s="11"/>
      <c r="G62" s="3" t="s">
        <v>45</v>
      </c>
      <c r="H62" s="14"/>
      <c r="I62" s="39"/>
      <c r="J62" s="39"/>
      <c r="K62" s="14"/>
      <c r="L62" s="18"/>
      <c r="M62" s="18"/>
      <c r="N62" s="18"/>
      <c r="O62" s="18"/>
      <c r="P62" s="18"/>
      <c r="Q62" s="18"/>
      <c r="R62" s="18"/>
      <c r="S62" s="32"/>
      <c r="T62" s="18"/>
      <c r="U62" s="14"/>
      <c r="V62" s="18"/>
      <c r="W62" s="14"/>
      <c r="X62" s="18"/>
      <c r="Y62" s="14"/>
      <c r="Z62" s="33"/>
      <c r="AA62" s="14" t="s">
        <v>35</v>
      </c>
      <c r="AB62" s="18"/>
      <c r="AC62" s="14"/>
      <c r="AD62" s="18"/>
      <c r="AE62" s="18"/>
      <c r="AF62" s="18"/>
      <c r="AG62" s="14"/>
      <c r="AH62" s="14"/>
      <c r="AI62" s="20"/>
      <c r="AJ62" s="14"/>
      <c r="AK62" s="14"/>
      <c r="AL62" s="14"/>
      <c r="AM62" s="14"/>
      <c r="AN62" s="14"/>
      <c r="AO62" s="14"/>
      <c r="AP62" s="14"/>
      <c r="AQ62" s="14"/>
      <c r="AR62" s="14" t="s">
        <v>38</v>
      </c>
      <c r="AS62" s="34"/>
      <c r="AT62" s="34"/>
      <c r="AU62" s="14" t="s">
        <v>35</v>
      </c>
      <c r="AV62" s="14"/>
      <c r="AW62" s="14"/>
      <c r="AX62" s="29"/>
      <c r="AY62" s="29"/>
      <c r="AZ62" s="29"/>
      <c r="BA62" s="29"/>
      <c r="BB62" s="14"/>
      <c r="BC62" s="14"/>
      <c r="BD62" s="14"/>
      <c r="BE62" s="14"/>
      <c r="BF62" s="35"/>
      <c r="BG62" s="36"/>
      <c r="BH62" s="36"/>
      <c r="BI62" s="37"/>
      <c r="BJ62" s="36"/>
      <c r="BK62" s="37"/>
      <c r="BL62" s="38"/>
      <c r="BM62" s="38">
        <f t="shared" si="1"/>
        <v>0</v>
      </c>
      <c r="BN62" s="37"/>
    </row>
    <row r="63" spans="1:66" s="17" customFormat="1" ht="30">
      <c r="A63" s="13" t="s">
        <v>195</v>
      </c>
      <c r="B63" s="2">
        <v>730</v>
      </c>
      <c r="C63" s="3" t="s">
        <v>33</v>
      </c>
      <c r="D63" s="3" t="s">
        <v>50</v>
      </c>
      <c r="E63" s="3" t="s">
        <v>100</v>
      </c>
      <c r="F63" s="11" t="s">
        <v>35</v>
      </c>
      <c r="G63" s="3" t="s">
        <v>67</v>
      </c>
      <c r="H63" s="14" t="s">
        <v>67</v>
      </c>
      <c r="I63" s="31" t="s">
        <v>465</v>
      </c>
      <c r="J63" s="31">
        <v>1800</v>
      </c>
      <c r="K63" s="14" t="s">
        <v>472</v>
      </c>
      <c r="L63" s="18">
        <v>38889</v>
      </c>
      <c r="M63" s="18">
        <v>41831</v>
      </c>
      <c r="N63" s="18">
        <v>58494</v>
      </c>
      <c r="O63" s="18">
        <v>60093</v>
      </c>
      <c r="P63" s="18">
        <v>53906</v>
      </c>
      <c r="Q63" s="18">
        <v>54589</v>
      </c>
      <c r="R63" s="18">
        <v>44811</v>
      </c>
      <c r="S63" s="32">
        <f>(R63-Q63)/R63</f>
        <v>-0.2182053513646203</v>
      </c>
      <c r="T63" s="18">
        <f>R63/100*73</f>
        <v>32712.030000000002</v>
      </c>
      <c r="U63" s="14" t="s">
        <v>40</v>
      </c>
      <c r="V63" s="18">
        <v>26822</v>
      </c>
      <c r="W63" s="14" t="s">
        <v>40</v>
      </c>
      <c r="X63" s="18">
        <v>17989</v>
      </c>
      <c r="Y63" s="14" t="s">
        <v>40</v>
      </c>
      <c r="Z63" s="33" t="s">
        <v>38</v>
      </c>
      <c r="AA63" s="14" t="s">
        <v>35</v>
      </c>
      <c r="AB63" s="18" t="s">
        <v>100</v>
      </c>
      <c r="AC63" s="14" t="s">
        <v>38</v>
      </c>
      <c r="AD63" s="18" t="s">
        <v>46</v>
      </c>
      <c r="AE63" s="18">
        <v>160</v>
      </c>
      <c r="AF63" s="18">
        <v>4792</v>
      </c>
      <c r="AG63" s="14" t="s">
        <v>42</v>
      </c>
      <c r="AH63" s="14">
        <v>6</v>
      </c>
      <c r="AI63" s="20">
        <v>180</v>
      </c>
      <c r="AJ63" s="14">
        <v>6</v>
      </c>
      <c r="AK63" s="14" t="s">
        <v>37</v>
      </c>
      <c r="AL63" s="14" t="s">
        <v>37</v>
      </c>
      <c r="AM63" s="14" t="s">
        <v>37</v>
      </c>
      <c r="AN63" s="14" t="s">
        <v>37</v>
      </c>
      <c r="AO63" s="14" t="s">
        <v>37</v>
      </c>
      <c r="AP63" s="14" t="s">
        <v>37</v>
      </c>
      <c r="AQ63" s="14" t="s">
        <v>37</v>
      </c>
      <c r="AR63" s="14" t="s">
        <v>38</v>
      </c>
      <c r="AS63" s="34"/>
      <c r="AT63" s="34"/>
      <c r="AU63" s="14" t="s">
        <v>35</v>
      </c>
      <c r="AV63" s="14" t="s">
        <v>38</v>
      </c>
      <c r="AW63" s="14" t="s">
        <v>38</v>
      </c>
      <c r="AX63" s="29"/>
      <c r="AY63" s="29"/>
      <c r="AZ63" s="29" t="s">
        <v>100</v>
      </c>
      <c r="BA63" s="29" t="s">
        <v>100</v>
      </c>
      <c r="BB63" s="14" t="s">
        <v>37</v>
      </c>
      <c r="BC63" s="14" t="s">
        <v>100</v>
      </c>
      <c r="BD63" s="14" t="s">
        <v>100</v>
      </c>
      <c r="BE63" s="14" t="s">
        <v>37</v>
      </c>
      <c r="BF63" s="35" t="s">
        <v>37</v>
      </c>
      <c r="BG63" s="36">
        <f>T63/100*(44)*12.86</f>
        <v>185097.750552</v>
      </c>
      <c r="BH63" s="36">
        <f>T63/100*(56)*25.73</f>
        <v>471341.09786400007</v>
      </c>
      <c r="BI63" s="37">
        <f t="shared" si="0"/>
        <v>656438.8484160001</v>
      </c>
      <c r="BJ63" s="36"/>
      <c r="BK63" s="37">
        <f>BJ63+BI63</f>
        <v>656438.8484160001</v>
      </c>
      <c r="BL63" s="38"/>
      <c r="BM63" s="38"/>
      <c r="BN63" s="37"/>
    </row>
    <row r="64" spans="1:66" s="17" customFormat="1" ht="135">
      <c r="A64" s="12" t="s">
        <v>196</v>
      </c>
      <c r="B64" s="2">
        <v>890</v>
      </c>
      <c r="C64" s="3" t="s">
        <v>33</v>
      </c>
      <c r="D64" s="10" t="s">
        <v>50</v>
      </c>
      <c r="E64" s="10"/>
      <c r="F64" s="11" t="s">
        <v>35</v>
      </c>
      <c r="G64" s="3" t="s">
        <v>36</v>
      </c>
      <c r="H64" s="14" t="s">
        <v>36</v>
      </c>
      <c r="I64" s="31" t="s">
        <v>466</v>
      </c>
      <c r="J64" s="31">
        <v>500</v>
      </c>
      <c r="K64" s="14" t="s">
        <v>472</v>
      </c>
      <c r="L64" s="18">
        <v>7173</v>
      </c>
      <c r="M64" s="18">
        <v>7110</v>
      </c>
      <c r="N64" s="18">
        <v>6565</v>
      </c>
      <c r="O64" s="18">
        <v>6897</v>
      </c>
      <c r="P64" s="18">
        <v>4894</v>
      </c>
      <c r="Q64" s="18"/>
      <c r="R64" s="18">
        <v>10201</v>
      </c>
      <c r="S64" s="32"/>
      <c r="T64" s="18">
        <f>R64/100*73</f>
        <v>7446.7300000000005</v>
      </c>
      <c r="U64" s="14" t="s">
        <v>40</v>
      </c>
      <c r="V64" s="18">
        <v>6203</v>
      </c>
      <c r="W64" s="14" t="s">
        <v>40</v>
      </c>
      <c r="X64" s="18">
        <v>3998</v>
      </c>
      <c r="Y64" s="14" t="s">
        <v>40</v>
      </c>
      <c r="Z64" s="33" t="s">
        <v>124</v>
      </c>
      <c r="AA64" s="14" t="s">
        <v>35</v>
      </c>
      <c r="AB64" s="18">
        <v>195227</v>
      </c>
      <c r="AC64" s="14" t="s">
        <v>35</v>
      </c>
      <c r="AD64" s="18" t="s">
        <v>197</v>
      </c>
      <c r="AE64" s="18">
        <v>30</v>
      </c>
      <c r="AF64" s="18">
        <v>887</v>
      </c>
      <c r="AG64" s="14" t="s">
        <v>40</v>
      </c>
      <c r="AH64" s="14">
        <v>0</v>
      </c>
      <c r="AI64" s="20">
        <v>0</v>
      </c>
      <c r="AJ64" s="14">
        <v>0</v>
      </c>
      <c r="AK64" s="14" t="s">
        <v>40</v>
      </c>
      <c r="AL64" s="14">
        <v>24</v>
      </c>
      <c r="AM64" s="14">
        <v>680</v>
      </c>
      <c r="AN64" s="14" t="s">
        <v>40</v>
      </c>
      <c r="AO64" s="14">
        <v>8</v>
      </c>
      <c r="AP64" s="14">
        <v>240</v>
      </c>
      <c r="AQ64" s="14" t="s">
        <v>42</v>
      </c>
      <c r="AR64" s="14" t="s">
        <v>35</v>
      </c>
      <c r="AS64" s="34">
        <v>5.5</v>
      </c>
      <c r="AT64" s="34">
        <v>3.5</v>
      </c>
      <c r="AU64" s="14" t="s">
        <v>35</v>
      </c>
      <c r="AV64" s="14" t="s">
        <v>35</v>
      </c>
      <c r="AW64" s="14" t="s">
        <v>38</v>
      </c>
      <c r="AX64" s="29"/>
      <c r="AY64" s="29"/>
      <c r="AZ64" s="29">
        <v>40</v>
      </c>
      <c r="BA64" s="29">
        <v>25000</v>
      </c>
      <c r="BB64" s="14" t="s">
        <v>42</v>
      </c>
      <c r="BC64" s="14">
        <v>0</v>
      </c>
      <c r="BD64" s="14">
        <v>0</v>
      </c>
      <c r="BE64" s="14" t="s">
        <v>40</v>
      </c>
      <c r="BF64" s="35" t="s">
        <v>198</v>
      </c>
      <c r="BG64" s="36">
        <f>T64/100*(44)*12.86</f>
        <v>42136.57703200001</v>
      </c>
      <c r="BH64" s="36">
        <f>T64/100*(56)*25.73</f>
        <v>107298.44322400002</v>
      </c>
      <c r="BI64" s="37">
        <f t="shared" si="0"/>
        <v>149435.02025600002</v>
      </c>
      <c r="BJ64" s="36">
        <v>100638</v>
      </c>
      <c r="BK64" s="37">
        <f>BJ64+BI64</f>
        <v>250073.02025600002</v>
      </c>
      <c r="BL64" s="38">
        <v>0</v>
      </c>
      <c r="BM64" s="38">
        <f t="shared" si="1"/>
        <v>0</v>
      </c>
      <c r="BN64" s="37">
        <v>178571.42857142858</v>
      </c>
    </row>
    <row r="65" spans="1:66" s="17" customFormat="1" ht="90">
      <c r="A65" s="12" t="s">
        <v>199</v>
      </c>
      <c r="B65" s="2">
        <v>1587</v>
      </c>
      <c r="C65" s="3" t="s">
        <v>33</v>
      </c>
      <c r="D65" s="3" t="s">
        <v>91</v>
      </c>
      <c r="E65" s="3"/>
      <c r="F65" s="11" t="s">
        <v>35</v>
      </c>
      <c r="G65" s="3" t="s">
        <v>36</v>
      </c>
      <c r="H65" s="14" t="s">
        <v>36</v>
      </c>
      <c r="I65" s="31" t="s">
        <v>466</v>
      </c>
      <c r="J65" s="31">
        <v>935</v>
      </c>
      <c r="K65" s="14" t="s">
        <v>471</v>
      </c>
      <c r="L65" s="18"/>
      <c r="M65" s="18"/>
      <c r="N65" s="18">
        <v>4247</v>
      </c>
      <c r="O65" s="18">
        <v>5353</v>
      </c>
      <c r="P65" s="18">
        <v>4894</v>
      </c>
      <c r="Q65" s="18">
        <v>4109</v>
      </c>
      <c r="R65" s="18">
        <v>5007</v>
      </c>
      <c r="S65" s="32">
        <f>(R65-Q65)/R65</f>
        <v>0.1793489115238666</v>
      </c>
      <c r="T65" s="18">
        <f>R65/100*77</f>
        <v>3855.39</v>
      </c>
      <c r="U65" s="14" t="s">
        <v>40</v>
      </c>
      <c r="V65" s="18">
        <v>3521</v>
      </c>
      <c r="W65" s="14" t="s">
        <v>40</v>
      </c>
      <c r="X65" s="18">
        <v>749</v>
      </c>
      <c r="Y65" s="14" t="s">
        <v>40</v>
      </c>
      <c r="Z65" s="33" t="s">
        <v>200</v>
      </c>
      <c r="AA65" s="14" t="s">
        <v>35</v>
      </c>
      <c r="AB65" s="18" t="s">
        <v>201</v>
      </c>
      <c r="AC65" s="14" t="s">
        <v>35</v>
      </c>
      <c r="AD65" s="18">
        <v>211</v>
      </c>
      <c r="AE65" s="18">
        <v>8</v>
      </c>
      <c r="AF65" s="18">
        <v>209</v>
      </c>
      <c r="AG65" s="14" t="s">
        <v>40</v>
      </c>
      <c r="AH65" s="14">
        <v>24</v>
      </c>
      <c r="AI65" s="20">
        <v>600</v>
      </c>
      <c r="AJ65" s="14">
        <v>21</v>
      </c>
      <c r="AK65" s="14" t="s">
        <v>42</v>
      </c>
      <c r="AL65" s="14">
        <v>28</v>
      </c>
      <c r="AM65" s="14">
        <v>737</v>
      </c>
      <c r="AN65" s="14" t="s">
        <v>40</v>
      </c>
      <c r="AO65" s="14">
        <v>1</v>
      </c>
      <c r="AP65" s="14">
        <v>68</v>
      </c>
      <c r="AQ65" s="14" t="s">
        <v>40</v>
      </c>
      <c r="AR65" s="14" t="s">
        <v>38</v>
      </c>
      <c r="AS65" s="34"/>
      <c r="AT65" s="34"/>
      <c r="AU65" s="14" t="s">
        <v>35</v>
      </c>
      <c r="AV65" s="14" t="s">
        <v>38</v>
      </c>
      <c r="AW65" s="14" t="s">
        <v>38</v>
      </c>
      <c r="AX65" s="29">
        <v>31</v>
      </c>
      <c r="AY65" s="29">
        <v>2800</v>
      </c>
      <c r="AZ65" s="29">
        <v>44</v>
      </c>
      <c r="BA65" s="29">
        <v>4437</v>
      </c>
      <c r="BB65" s="14" t="s">
        <v>42</v>
      </c>
      <c r="BC65" s="14">
        <v>1</v>
      </c>
      <c r="BD65" s="14">
        <v>1</v>
      </c>
      <c r="BE65" s="14" t="s">
        <v>40</v>
      </c>
      <c r="BF65" s="35" t="s">
        <v>202</v>
      </c>
      <c r="BG65" s="36">
        <f>T65/100*(47)*8.9</f>
        <v>16127.096370000001</v>
      </c>
      <c r="BH65" s="36">
        <f>T65/100*(53)*17.79</f>
        <v>36351.315693</v>
      </c>
      <c r="BI65" s="37">
        <f t="shared" si="0"/>
        <v>52478.412062999996</v>
      </c>
      <c r="BJ65" s="36">
        <v>25755.949999999997</v>
      </c>
      <c r="BK65" s="37">
        <f>BJ65+BI65</f>
        <v>78234.362063</v>
      </c>
      <c r="BL65" s="38">
        <v>0.53325</v>
      </c>
      <c r="BM65" s="38">
        <f t="shared" si="1"/>
        <v>1.53325</v>
      </c>
      <c r="BN65" s="37">
        <v>31692.857142857145</v>
      </c>
    </row>
    <row r="66" spans="1:66" s="17" customFormat="1" ht="93" customHeight="1">
      <c r="A66" s="13" t="s">
        <v>203</v>
      </c>
      <c r="B66" s="2">
        <v>694</v>
      </c>
      <c r="C66" s="3" t="s">
        <v>60</v>
      </c>
      <c r="D66" s="16" t="s">
        <v>44</v>
      </c>
      <c r="E66" s="16" t="s">
        <v>35</v>
      </c>
      <c r="F66" s="11"/>
      <c r="G66" s="3" t="s">
        <v>139</v>
      </c>
      <c r="H66" s="14"/>
      <c r="I66" s="39"/>
      <c r="J66" s="39"/>
      <c r="K66" s="14"/>
      <c r="L66" s="18">
        <v>70215</v>
      </c>
      <c r="M66" s="18">
        <v>67848</v>
      </c>
      <c r="N66" s="18">
        <v>72787</v>
      </c>
      <c r="O66" s="18"/>
      <c r="P66" s="18"/>
      <c r="Q66" s="18"/>
      <c r="R66" s="18"/>
      <c r="S66" s="32"/>
      <c r="T66" s="18"/>
      <c r="U66" s="14"/>
      <c r="V66" s="18"/>
      <c r="W66" s="14"/>
      <c r="X66" s="18"/>
      <c r="Y66" s="14"/>
      <c r="Z66" s="33"/>
      <c r="AA66" s="14" t="s">
        <v>35</v>
      </c>
      <c r="AB66" s="18"/>
      <c r="AC66" s="14"/>
      <c r="AD66" s="18"/>
      <c r="AE66" s="18"/>
      <c r="AF66" s="18"/>
      <c r="AG66" s="14"/>
      <c r="AH66" s="14"/>
      <c r="AI66" s="20"/>
      <c r="AJ66" s="14"/>
      <c r="AK66" s="14"/>
      <c r="AL66" s="14"/>
      <c r="AM66" s="14"/>
      <c r="AN66" s="14"/>
      <c r="AO66" s="14"/>
      <c r="AP66" s="14"/>
      <c r="AQ66" s="14"/>
      <c r="AR66" s="14" t="s">
        <v>38</v>
      </c>
      <c r="AS66" s="34"/>
      <c r="AT66" s="34"/>
      <c r="AU66" s="14" t="s">
        <v>46</v>
      </c>
      <c r="AV66" s="14"/>
      <c r="AW66" s="14"/>
      <c r="AX66" s="29"/>
      <c r="AY66" s="29"/>
      <c r="AZ66" s="29"/>
      <c r="BA66" s="29"/>
      <c r="BB66" s="14"/>
      <c r="BC66" s="14"/>
      <c r="BD66" s="14"/>
      <c r="BE66" s="14"/>
      <c r="BF66" s="35"/>
      <c r="BG66" s="36"/>
      <c r="BH66" s="36"/>
      <c r="BI66" s="37"/>
      <c r="BJ66" s="36"/>
      <c r="BK66" s="37"/>
      <c r="BL66" s="38"/>
      <c r="BM66" s="38">
        <f t="shared" si="1"/>
        <v>0</v>
      </c>
      <c r="BN66" s="37"/>
    </row>
    <row r="67" spans="1:66" s="17" customFormat="1" ht="150">
      <c r="A67" s="12" t="s">
        <v>205</v>
      </c>
      <c r="B67" s="2">
        <v>591</v>
      </c>
      <c r="C67" s="3" t="s">
        <v>33</v>
      </c>
      <c r="D67" s="10" t="s">
        <v>50</v>
      </c>
      <c r="E67" s="10"/>
      <c r="F67" s="11" t="s">
        <v>35</v>
      </c>
      <c r="G67" s="3" t="s">
        <v>36</v>
      </c>
      <c r="H67" s="14" t="s">
        <v>36</v>
      </c>
      <c r="I67" s="31" t="s">
        <v>466</v>
      </c>
      <c r="J67" s="31">
        <v>610</v>
      </c>
      <c r="K67" s="14" t="s">
        <v>46</v>
      </c>
      <c r="L67" s="18">
        <v>35000</v>
      </c>
      <c r="M67" s="18">
        <v>35000</v>
      </c>
      <c r="N67" s="18">
        <v>50000</v>
      </c>
      <c r="O67" s="18">
        <v>50000</v>
      </c>
      <c r="P67" s="18">
        <v>50000</v>
      </c>
      <c r="Q67" s="18">
        <v>50000</v>
      </c>
      <c r="R67" s="18" t="s">
        <v>46</v>
      </c>
      <c r="S67" s="32"/>
      <c r="T67" s="18"/>
      <c r="U67" s="14" t="s">
        <v>42</v>
      </c>
      <c r="V67" s="18" t="s">
        <v>58</v>
      </c>
      <c r="W67" s="14" t="s">
        <v>42</v>
      </c>
      <c r="X67" s="18" t="s">
        <v>58</v>
      </c>
      <c r="Y67" s="14" t="s">
        <v>42</v>
      </c>
      <c r="Z67" s="33" t="s">
        <v>206</v>
      </c>
      <c r="AA67" s="14" t="s">
        <v>35</v>
      </c>
      <c r="AB67" s="18">
        <v>1603</v>
      </c>
      <c r="AC67" s="14" t="s">
        <v>38</v>
      </c>
      <c r="AD67" s="18" t="s">
        <v>37</v>
      </c>
      <c r="AE67" s="18">
        <v>0</v>
      </c>
      <c r="AF67" s="18">
        <v>0</v>
      </c>
      <c r="AG67" s="14" t="s">
        <v>42</v>
      </c>
      <c r="AH67" s="14">
        <v>0</v>
      </c>
      <c r="AI67" s="20">
        <v>0</v>
      </c>
      <c r="AJ67" s="14">
        <v>0</v>
      </c>
      <c r="AK67" s="14" t="s">
        <v>42</v>
      </c>
      <c r="AL67" s="14">
        <v>0</v>
      </c>
      <c r="AM67" s="14">
        <v>0</v>
      </c>
      <c r="AN67" s="14" t="s">
        <v>37</v>
      </c>
      <c r="AO67" s="14">
        <v>0</v>
      </c>
      <c r="AP67" s="14">
        <v>0</v>
      </c>
      <c r="AQ67" s="14" t="s">
        <v>42</v>
      </c>
      <c r="AR67" s="14" t="s">
        <v>38</v>
      </c>
      <c r="AS67" s="34"/>
      <c r="AT67" s="34"/>
      <c r="AU67" s="14" t="s">
        <v>38</v>
      </c>
      <c r="AV67" s="14" t="s">
        <v>38</v>
      </c>
      <c r="AW67" s="14" t="s">
        <v>38</v>
      </c>
      <c r="AX67" s="29">
        <v>16</v>
      </c>
      <c r="AY67" s="29">
        <v>1250</v>
      </c>
      <c r="AZ67" s="29">
        <v>20</v>
      </c>
      <c r="BA67" s="29">
        <v>400</v>
      </c>
      <c r="BB67" s="14" t="s">
        <v>42</v>
      </c>
      <c r="BC67" s="14">
        <v>1</v>
      </c>
      <c r="BD67" s="14">
        <v>0</v>
      </c>
      <c r="BE67" s="14" t="s">
        <v>40</v>
      </c>
      <c r="BF67" s="35" t="s">
        <v>207</v>
      </c>
      <c r="BG67" s="36">
        <f>T67/100*(47)*12.86</f>
        <v>0</v>
      </c>
      <c r="BH67" s="36">
        <f>T67/100*(53)*25.73</f>
        <v>0</v>
      </c>
      <c r="BI67" s="37"/>
      <c r="BJ67" s="36">
        <v>3353</v>
      </c>
      <c r="BK67" s="37">
        <f>BJ67+BI67</f>
        <v>3353</v>
      </c>
      <c r="BL67" s="38">
        <v>0</v>
      </c>
      <c r="BM67" s="38">
        <f aca="true" t="shared" si="5" ref="BM67:BM130">BL67+BD67</f>
        <v>0</v>
      </c>
      <c r="BN67" s="37">
        <v>2857.1428571428573</v>
      </c>
    </row>
    <row r="68" spans="1:66" s="17" customFormat="1" ht="30">
      <c r="A68" s="12" t="s">
        <v>208</v>
      </c>
      <c r="B68" s="2"/>
      <c r="C68" s="3" t="s">
        <v>209</v>
      </c>
      <c r="D68" s="10" t="s">
        <v>50</v>
      </c>
      <c r="E68" s="10"/>
      <c r="F68" s="11" t="s">
        <v>35</v>
      </c>
      <c r="G68" s="3" t="s">
        <v>55</v>
      </c>
      <c r="H68" s="14" t="s">
        <v>37</v>
      </c>
      <c r="I68" s="31" t="s">
        <v>465</v>
      </c>
      <c r="J68" s="31">
        <v>1650</v>
      </c>
      <c r="K68" s="14" t="s">
        <v>472</v>
      </c>
      <c r="L68" s="18">
        <v>26933</v>
      </c>
      <c r="M68" s="18">
        <v>30794</v>
      </c>
      <c r="N68" s="18">
        <v>34394</v>
      </c>
      <c r="O68" s="18"/>
      <c r="P68" s="18">
        <v>36546</v>
      </c>
      <c r="Q68" s="18">
        <v>31416</v>
      </c>
      <c r="R68" s="18">
        <v>34233</v>
      </c>
      <c r="S68" s="32">
        <f>(R68-Q68)/R68</f>
        <v>0.08228901936727719</v>
      </c>
      <c r="T68" s="18">
        <f>R68/100*73</f>
        <v>24990.09</v>
      </c>
      <c r="U68" s="14" t="s">
        <v>40</v>
      </c>
      <c r="V68" s="18" t="s">
        <v>41</v>
      </c>
      <c r="W68" s="14" t="s">
        <v>37</v>
      </c>
      <c r="X68" s="18" t="s">
        <v>41</v>
      </c>
      <c r="Y68" s="14" t="s">
        <v>37</v>
      </c>
      <c r="Z68" s="33" t="s">
        <v>41</v>
      </c>
      <c r="AA68" s="14" t="s">
        <v>35</v>
      </c>
      <c r="AB68" s="18" t="s">
        <v>119</v>
      </c>
      <c r="AC68" s="14" t="s">
        <v>35</v>
      </c>
      <c r="AD68" s="18" t="s">
        <v>119</v>
      </c>
      <c r="AE68" s="18">
        <v>21</v>
      </c>
      <c r="AF68" s="18">
        <v>200</v>
      </c>
      <c r="AG68" s="14" t="s">
        <v>42</v>
      </c>
      <c r="AH68" s="14">
        <v>2</v>
      </c>
      <c r="AI68" s="20">
        <v>150</v>
      </c>
      <c r="AJ68" s="14">
        <v>23</v>
      </c>
      <c r="AK68" s="14" t="s">
        <v>40</v>
      </c>
      <c r="AL68" s="14" t="s">
        <v>41</v>
      </c>
      <c r="AM68" s="14" t="s">
        <v>41</v>
      </c>
      <c r="AN68" s="14" t="s">
        <v>37</v>
      </c>
      <c r="AO68" s="14" t="s">
        <v>41</v>
      </c>
      <c r="AP68" s="14" t="s">
        <v>41</v>
      </c>
      <c r="AQ68" s="14" t="s">
        <v>37</v>
      </c>
      <c r="AR68" s="14" t="s">
        <v>35</v>
      </c>
      <c r="AS68" s="34">
        <v>6.9</v>
      </c>
      <c r="AT68" s="34">
        <v>3.45</v>
      </c>
      <c r="AU68" s="14" t="s">
        <v>35</v>
      </c>
      <c r="AV68" s="14" t="s">
        <v>35</v>
      </c>
      <c r="AW68" s="14" t="s">
        <v>38</v>
      </c>
      <c r="AX68" s="29">
        <v>6</v>
      </c>
      <c r="AY68" s="29">
        <v>50</v>
      </c>
      <c r="AZ68" s="29">
        <v>45</v>
      </c>
      <c r="BA68" s="29">
        <v>7500</v>
      </c>
      <c r="BB68" s="14" t="s">
        <v>42</v>
      </c>
      <c r="BC68" s="14">
        <v>16</v>
      </c>
      <c r="BD68" s="14">
        <v>1</v>
      </c>
      <c r="BE68" s="14" t="s">
        <v>40</v>
      </c>
      <c r="BF68" s="35" t="s">
        <v>41</v>
      </c>
      <c r="BG68" s="36">
        <f>T68/100*(44)*12.86</f>
        <v>141403.925256</v>
      </c>
      <c r="BH68" s="36">
        <f>T68/100*(56)*25.73</f>
        <v>360077.208792</v>
      </c>
      <c r="BI68" s="37">
        <f aca="true" t="shared" si="6" ref="BI68:BI130">BG68+BH68</f>
        <v>501481.134048</v>
      </c>
      <c r="BJ68" s="36">
        <v>103653</v>
      </c>
      <c r="BK68" s="37">
        <f>BJ68+BI68</f>
        <v>605134.134048</v>
      </c>
      <c r="BL68" s="38">
        <v>0.49949999999999994</v>
      </c>
      <c r="BM68" s="38">
        <f t="shared" si="5"/>
        <v>1.4994999999999998</v>
      </c>
      <c r="BN68" s="37">
        <v>53571.428571428565</v>
      </c>
    </row>
    <row r="69" spans="1:66" s="17" customFormat="1" ht="60">
      <c r="A69" s="12" t="s">
        <v>210</v>
      </c>
      <c r="B69" s="2">
        <v>570</v>
      </c>
      <c r="C69" s="3" t="s">
        <v>33</v>
      </c>
      <c r="D69" s="10" t="s">
        <v>50</v>
      </c>
      <c r="E69" s="10"/>
      <c r="F69" s="11" t="s">
        <v>35</v>
      </c>
      <c r="G69" s="3" t="s">
        <v>36</v>
      </c>
      <c r="H69" s="14" t="s">
        <v>37</v>
      </c>
      <c r="I69" s="31" t="s">
        <v>466</v>
      </c>
      <c r="J69" s="31">
        <v>69</v>
      </c>
      <c r="K69" s="14" t="s">
        <v>471</v>
      </c>
      <c r="L69" s="18">
        <v>700</v>
      </c>
      <c r="M69" s="18">
        <v>750</v>
      </c>
      <c r="N69" s="18">
        <v>750</v>
      </c>
      <c r="O69" s="18">
        <v>850</v>
      </c>
      <c r="P69" s="18">
        <v>900</v>
      </c>
      <c r="Q69" s="18">
        <v>950</v>
      </c>
      <c r="R69" s="18">
        <v>663</v>
      </c>
      <c r="S69" s="32">
        <f>(R69-Q69)/R69</f>
        <v>-0.43288084464555054</v>
      </c>
      <c r="T69" s="18">
        <f>R69/100*77</f>
        <v>510.51</v>
      </c>
      <c r="U69" s="14" t="s">
        <v>40</v>
      </c>
      <c r="V69" s="18">
        <v>603</v>
      </c>
      <c r="W69" s="14" t="s">
        <v>40</v>
      </c>
      <c r="X69" s="18">
        <v>60</v>
      </c>
      <c r="Y69" s="14" t="s">
        <v>40</v>
      </c>
      <c r="Z69" s="33" t="s">
        <v>41</v>
      </c>
      <c r="AA69" s="14" t="s">
        <v>35</v>
      </c>
      <c r="AB69" s="18" t="s">
        <v>119</v>
      </c>
      <c r="AC69" s="14" t="s">
        <v>35</v>
      </c>
      <c r="AD69" s="18" t="s">
        <v>211</v>
      </c>
      <c r="AE69" s="18">
        <v>0</v>
      </c>
      <c r="AF69" s="18">
        <v>0</v>
      </c>
      <c r="AG69" s="14" t="s">
        <v>37</v>
      </c>
      <c r="AH69" s="14">
        <v>2</v>
      </c>
      <c r="AI69" s="20">
        <v>60</v>
      </c>
      <c r="AJ69" s="14">
        <v>2</v>
      </c>
      <c r="AK69" s="14" t="s">
        <v>40</v>
      </c>
      <c r="AL69" s="14">
        <v>2</v>
      </c>
      <c r="AM69" s="14">
        <v>100</v>
      </c>
      <c r="AN69" s="14" t="s">
        <v>481</v>
      </c>
      <c r="AO69" s="14">
        <v>2</v>
      </c>
      <c r="AP69" s="14">
        <v>100</v>
      </c>
      <c r="AQ69" s="14" t="s">
        <v>481</v>
      </c>
      <c r="AR69" s="14" t="s">
        <v>38</v>
      </c>
      <c r="AS69" s="34"/>
      <c r="AT69" s="34"/>
      <c r="AU69" s="14" t="s">
        <v>35</v>
      </c>
      <c r="AV69" s="14" t="s">
        <v>38</v>
      </c>
      <c r="AW69" s="14" t="s">
        <v>38</v>
      </c>
      <c r="AX69" s="29">
        <v>35</v>
      </c>
      <c r="AY69" s="29">
        <v>500</v>
      </c>
      <c r="AZ69" s="29">
        <v>33</v>
      </c>
      <c r="BA69" s="29">
        <v>150</v>
      </c>
      <c r="BB69" s="14" t="s">
        <v>40</v>
      </c>
      <c r="BC69" s="14">
        <v>0</v>
      </c>
      <c r="BD69" s="14">
        <v>0</v>
      </c>
      <c r="BE69" s="14" t="s">
        <v>37</v>
      </c>
      <c r="BF69" s="35" t="s">
        <v>212</v>
      </c>
      <c r="BG69" s="36">
        <f>T69/100*(47)*12.86</f>
        <v>3085.624542</v>
      </c>
      <c r="BH69" s="36">
        <f>T69/100*(53)*25.73</f>
        <v>6961.773819000001</v>
      </c>
      <c r="BI69" s="37">
        <f t="shared" si="6"/>
        <v>10047.398361000001</v>
      </c>
      <c r="BJ69" s="36">
        <v>1877</v>
      </c>
      <c r="BK69" s="37">
        <f>BJ69+BI69</f>
        <v>11924.398361000001</v>
      </c>
      <c r="BL69" s="38">
        <v>0</v>
      </c>
      <c r="BM69" s="38">
        <f t="shared" si="5"/>
        <v>0</v>
      </c>
      <c r="BN69" s="37">
        <v>1071.4285714285713</v>
      </c>
    </row>
    <row r="70" spans="1:66" s="17" customFormat="1" ht="93" customHeight="1">
      <c r="A70" s="3" t="s">
        <v>213</v>
      </c>
      <c r="B70" s="2">
        <v>1631</v>
      </c>
      <c r="C70" s="3" t="s">
        <v>33</v>
      </c>
      <c r="D70" s="3" t="s">
        <v>91</v>
      </c>
      <c r="E70" s="3"/>
      <c r="F70" s="11"/>
      <c r="G70" s="3" t="s">
        <v>36</v>
      </c>
      <c r="H70" s="14"/>
      <c r="I70" s="39"/>
      <c r="J70" s="39"/>
      <c r="K70" s="14"/>
      <c r="L70" s="18">
        <v>17978</v>
      </c>
      <c r="M70" s="18">
        <v>16310</v>
      </c>
      <c r="N70" s="18">
        <v>13300</v>
      </c>
      <c r="O70" s="18">
        <v>10834</v>
      </c>
      <c r="P70" s="18"/>
      <c r="Q70" s="18"/>
      <c r="R70" s="18"/>
      <c r="S70" s="32"/>
      <c r="T70" s="18"/>
      <c r="U70" s="14"/>
      <c r="V70" s="18"/>
      <c r="W70" s="14"/>
      <c r="X70" s="18"/>
      <c r="Y70" s="14"/>
      <c r="Z70" s="33"/>
      <c r="AA70" s="14" t="s">
        <v>35</v>
      </c>
      <c r="AB70" s="18"/>
      <c r="AC70" s="14"/>
      <c r="AD70" s="18"/>
      <c r="AE70" s="18"/>
      <c r="AF70" s="18"/>
      <c r="AG70" s="14"/>
      <c r="AH70" s="14"/>
      <c r="AI70" s="20"/>
      <c r="AJ70" s="14"/>
      <c r="AK70" s="14"/>
      <c r="AL70" s="14"/>
      <c r="AM70" s="14"/>
      <c r="AN70" s="14"/>
      <c r="AO70" s="14"/>
      <c r="AP70" s="14"/>
      <c r="AQ70" s="14"/>
      <c r="AR70" s="14" t="s">
        <v>35</v>
      </c>
      <c r="AS70" s="34">
        <v>10</v>
      </c>
      <c r="AT70" s="34">
        <v>6</v>
      </c>
      <c r="AU70" s="14" t="s">
        <v>35</v>
      </c>
      <c r="AV70" s="14"/>
      <c r="AW70" s="14"/>
      <c r="AX70" s="29"/>
      <c r="AY70" s="29"/>
      <c r="AZ70" s="29"/>
      <c r="BA70" s="29"/>
      <c r="BB70" s="14"/>
      <c r="BC70" s="14"/>
      <c r="BD70" s="14"/>
      <c r="BE70" s="14"/>
      <c r="BF70" s="35"/>
      <c r="BG70" s="36"/>
      <c r="BH70" s="36"/>
      <c r="BI70" s="37"/>
      <c r="BJ70" s="36"/>
      <c r="BK70" s="37"/>
      <c r="BL70" s="38"/>
      <c r="BM70" s="38">
        <f t="shared" si="5"/>
        <v>0</v>
      </c>
      <c r="BN70" s="37"/>
    </row>
    <row r="71" spans="1:66" s="17" customFormat="1" ht="60">
      <c r="A71" s="3" t="s">
        <v>214</v>
      </c>
      <c r="B71" s="2">
        <v>571</v>
      </c>
      <c r="C71" s="3" t="s">
        <v>60</v>
      </c>
      <c r="D71" s="3" t="s">
        <v>57</v>
      </c>
      <c r="E71" s="3" t="s">
        <v>175</v>
      </c>
      <c r="F71" s="11" t="s">
        <v>176</v>
      </c>
      <c r="G71" s="3" t="s">
        <v>67</v>
      </c>
      <c r="H71" s="14"/>
      <c r="I71" s="39" t="s">
        <v>204</v>
      </c>
      <c r="J71" s="39"/>
      <c r="K71" s="14" t="s">
        <v>46</v>
      </c>
      <c r="L71" s="18">
        <v>15106</v>
      </c>
      <c r="M71" s="18">
        <v>12811</v>
      </c>
      <c r="N71" s="18">
        <v>13530</v>
      </c>
      <c r="O71" s="18">
        <v>11175</v>
      </c>
      <c r="P71" s="18">
        <v>780</v>
      </c>
      <c r="Q71" s="18"/>
      <c r="R71" s="18" t="s">
        <v>204</v>
      </c>
      <c r="S71" s="32"/>
      <c r="T71" s="18"/>
      <c r="U71" s="14"/>
      <c r="V71" s="18"/>
      <c r="W71" s="14"/>
      <c r="X71" s="18"/>
      <c r="Y71" s="14"/>
      <c r="Z71" s="33"/>
      <c r="AA71" s="14" t="s">
        <v>38</v>
      </c>
      <c r="AB71" s="18"/>
      <c r="AC71" s="14"/>
      <c r="AD71" s="18"/>
      <c r="AE71" s="18"/>
      <c r="AF71" s="18"/>
      <c r="AG71" s="14"/>
      <c r="AH71" s="14"/>
      <c r="AI71" s="20"/>
      <c r="AJ71" s="14"/>
      <c r="AK71" s="14"/>
      <c r="AL71" s="14"/>
      <c r="AM71" s="14"/>
      <c r="AN71" s="14"/>
      <c r="AO71" s="14"/>
      <c r="AP71" s="14"/>
      <c r="AQ71" s="14"/>
      <c r="AR71" s="14" t="s">
        <v>204</v>
      </c>
      <c r="AS71" s="34"/>
      <c r="AT71" s="34"/>
      <c r="AU71" s="14"/>
      <c r="AV71" s="14"/>
      <c r="AW71" s="14"/>
      <c r="AX71" s="29"/>
      <c r="AY71" s="29"/>
      <c r="AZ71" s="29"/>
      <c r="BA71" s="29"/>
      <c r="BB71" s="14"/>
      <c r="BC71" s="14"/>
      <c r="BD71" s="14"/>
      <c r="BE71" s="14"/>
      <c r="BF71" s="35"/>
      <c r="BG71" s="36">
        <f>T71/100*(47)*11.29</f>
        <v>0</v>
      </c>
      <c r="BH71" s="36">
        <f>T71/100*(53)*22.59</f>
        <v>0</v>
      </c>
      <c r="BI71" s="37"/>
      <c r="BJ71" s="36"/>
      <c r="BK71" s="37"/>
      <c r="BL71" s="38"/>
      <c r="BM71" s="38">
        <f t="shared" si="5"/>
        <v>0</v>
      </c>
      <c r="BN71" s="37"/>
    </row>
    <row r="72" spans="1:66" s="17" customFormat="1" ht="45">
      <c r="A72" s="12" t="s">
        <v>215</v>
      </c>
      <c r="B72" s="2">
        <v>667</v>
      </c>
      <c r="C72" s="3" t="s">
        <v>33</v>
      </c>
      <c r="D72" s="10" t="s">
        <v>50</v>
      </c>
      <c r="E72" s="10"/>
      <c r="F72" s="11" t="s">
        <v>35</v>
      </c>
      <c r="G72" s="3" t="s">
        <v>36</v>
      </c>
      <c r="H72" s="14" t="s">
        <v>36</v>
      </c>
      <c r="I72" s="31" t="s">
        <v>466</v>
      </c>
      <c r="J72" s="31">
        <v>876</v>
      </c>
      <c r="K72" s="14" t="s">
        <v>471</v>
      </c>
      <c r="L72" s="18"/>
      <c r="M72" s="18"/>
      <c r="N72" s="18">
        <v>6201</v>
      </c>
      <c r="O72" s="18">
        <v>5923</v>
      </c>
      <c r="P72" s="18">
        <v>11563</v>
      </c>
      <c r="Q72" s="18"/>
      <c r="R72" s="18">
        <v>3664</v>
      </c>
      <c r="S72" s="32"/>
      <c r="T72" s="18">
        <f>R72/100*77</f>
        <v>2821.28</v>
      </c>
      <c r="U72" s="14" t="s">
        <v>40</v>
      </c>
      <c r="V72" s="18">
        <v>3433</v>
      </c>
      <c r="W72" s="14" t="s">
        <v>40</v>
      </c>
      <c r="X72" s="18">
        <v>231</v>
      </c>
      <c r="Y72" s="14" t="s">
        <v>40</v>
      </c>
      <c r="Z72" s="33" t="s">
        <v>124</v>
      </c>
      <c r="AA72" s="14" t="s">
        <v>35</v>
      </c>
      <c r="AB72" s="18" t="s">
        <v>37</v>
      </c>
      <c r="AC72" s="14" t="s">
        <v>35</v>
      </c>
      <c r="AD72" s="18" t="s">
        <v>37</v>
      </c>
      <c r="AE72" s="18">
        <v>1</v>
      </c>
      <c r="AF72" s="18">
        <v>50</v>
      </c>
      <c r="AG72" s="14" t="s">
        <v>42</v>
      </c>
      <c r="AH72" s="14">
        <v>0</v>
      </c>
      <c r="AI72" s="20">
        <v>0</v>
      </c>
      <c r="AJ72" s="14">
        <v>1</v>
      </c>
      <c r="AK72" s="14" t="s">
        <v>40</v>
      </c>
      <c r="AL72" s="14">
        <v>10</v>
      </c>
      <c r="AM72" s="14">
        <v>100</v>
      </c>
      <c r="AN72" s="14" t="s">
        <v>42</v>
      </c>
      <c r="AO72" s="14">
        <v>10</v>
      </c>
      <c r="AP72" s="14" t="s">
        <v>37</v>
      </c>
      <c r="AQ72" s="14" t="s">
        <v>42</v>
      </c>
      <c r="AR72" s="14" t="s">
        <v>35</v>
      </c>
      <c r="AS72" s="34">
        <v>3.5</v>
      </c>
      <c r="AT72" s="34" t="s">
        <v>53</v>
      </c>
      <c r="AU72" s="14" t="s">
        <v>35</v>
      </c>
      <c r="AV72" s="14" t="s">
        <v>38</v>
      </c>
      <c r="AW72" s="14" t="s">
        <v>38</v>
      </c>
      <c r="AX72" s="29"/>
      <c r="AY72" s="29"/>
      <c r="AZ72" s="29">
        <v>40</v>
      </c>
      <c r="BA72" s="29">
        <v>5592</v>
      </c>
      <c r="BB72" s="14" t="s">
        <v>42</v>
      </c>
      <c r="BC72" s="14">
        <v>1</v>
      </c>
      <c r="BD72" s="14">
        <v>0.1</v>
      </c>
      <c r="BE72" s="14" t="s">
        <v>40</v>
      </c>
      <c r="BF72" s="35" t="s">
        <v>216</v>
      </c>
      <c r="BG72" s="36">
        <f>T72/100*(47)*12.86</f>
        <v>17052.380576</v>
      </c>
      <c r="BH72" s="36">
        <f>T72/100*(53)*25.73</f>
        <v>38473.513232000005</v>
      </c>
      <c r="BI72" s="37">
        <f t="shared" si="6"/>
        <v>55525.89380800001</v>
      </c>
      <c r="BJ72" s="36"/>
      <c r="BK72" s="37">
        <f aca="true" t="shared" si="7" ref="BK72:BK78">BJ72+BI72</f>
        <v>55525.89380800001</v>
      </c>
      <c r="BL72" s="38">
        <v>0.053325000000000004</v>
      </c>
      <c r="BM72" s="38">
        <f t="shared" si="5"/>
        <v>0.15332500000000002</v>
      </c>
      <c r="BN72" s="37">
        <v>39942.857142857145</v>
      </c>
    </row>
    <row r="73" spans="1:66" s="17" customFormat="1" ht="150">
      <c r="A73" s="12" t="s">
        <v>217</v>
      </c>
      <c r="B73" s="2">
        <v>581</v>
      </c>
      <c r="C73" s="3" t="s">
        <v>33</v>
      </c>
      <c r="D73" s="10" t="s">
        <v>50</v>
      </c>
      <c r="E73" s="10"/>
      <c r="F73" s="11" t="s">
        <v>35</v>
      </c>
      <c r="G73" s="3" t="s">
        <v>36</v>
      </c>
      <c r="H73" s="14" t="s">
        <v>36</v>
      </c>
      <c r="I73" s="31" t="s">
        <v>466</v>
      </c>
      <c r="J73" s="31">
        <v>1409</v>
      </c>
      <c r="K73" s="14" t="s">
        <v>471</v>
      </c>
      <c r="L73" s="18">
        <v>11072</v>
      </c>
      <c r="M73" s="18">
        <v>13654</v>
      </c>
      <c r="N73" s="18">
        <v>13204</v>
      </c>
      <c r="O73" s="18">
        <v>13574</v>
      </c>
      <c r="P73" s="18">
        <v>11563</v>
      </c>
      <c r="Q73" s="18">
        <v>9036</v>
      </c>
      <c r="R73" s="18">
        <v>8462</v>
      </c>
      <c r="S73" s="32">
        <f>(R73-Q73)/R73</f>
        <v>-0.06783266367289056</v>
      </c>
      <c r="T73" s="18">
        <f>R73/100*77</f>
        <v>6515.740000000001</v>
      </c>
      <c r="U73" s="14" t="s">
        <v>40</v>
      </c>
      <c r="V73" s="18">
        <v>4591</v>
      </c>
      <c r="W73" s="14" t="s">
        <v>40</v>
      </c>
      <c r="X73" s="18">
        <v>929</v>
      </c>
      <c r="Y73" s="14" t="s">
        <v>40</v>
      </c>
      <c r="Z73" s="33" t="s">
        <v>37</v>
      </c>
      <c r="AA73" s="14" t="s">
        <v>35</v>
      </c>
      <c r="AB73" s="18" t="s">
        <v>218</v>
      </c>
      <c r="AC73" s="14" t="s">
        <v>35</v>
      </c>
      <c r="AD73" s="18" t="s">
        <v>219</v>
      </c>
      <c r="AE73" s="18">
        <v>10</v>
      </c>
      <c r="AF73" s="18">
        <v>422</v>
      </c>
      <c r="AG73" s="14" t="s">
        <v>40</v>
      </c>
      <c r="AH73" s="14">
        <v>3</v>
      </c>
      <c r="AI73" s="20">
        <v>99</v>
      </c>
      <c r="AJ73" s="14">
        <v>8</v>
      </c>
      <c r="AK73" s="14" t="s">
        <v>40</v>
      </c>
      <c r="AL73" s="14">
        <v>30</v>
      </c>
      <c r="AM73" s="14">
        <v>1000</v>
      </c>
      <c r="AN73" s="14" t="s">
        <v>42</v>
      </c>
      <c r="AO73" s="14">
        <v>5</v>
      </c>
      <c r="AP73" s="14">
        <v>250</v>
      </c>
      <c r="AQ73" s="14" t="s">
        <v>42</v>
      </c>
      <c r="AR73" s="14" t="s">
        <v>35</v>
      </c>
      <c r="AS73" s="34">
        <v>6</v>
      </c>
      <c r="AT73" s="34">
        <v>3</v>
      </c>
      <c r="AU73" s="14" t="s">
        <v>35</v>
      </c>
      <c r="AV73" s="14" t="s">
        <v>38</v>
      </c>
      <c r="AW73" s="14" t="s">
        <v>38</v>
      </c>
      <c r="AX73" s="29">
        <v>114</v>
      </c>
      <c r="AY73" s="29">
        <v>5200</v>
      </c>
      <c r="AZ73" s="29">
        <v>151</v>
      </c>
      <c r="BA73" s="29">
        <v>6913</v>
      </c>
      <c r="BB73" s="14" t="s">
        <v>40</v>
      </c>
      <c r="BC73" s="14">
        <v>5</v>
      </c>
      <c r="BD73" s="14">
        <v>3.8</v>
      </c>
      <c r="BE73" s="14" t="s">
        <v>40</v>
      </c>
      <c r="BF73" s="35" t="s">
        <v>220</v>
      </c>
      <c r="BG73" s="36">
        <f>T73/100*(47)*12.86</f>
        <v>39382.435708000005</v>
      </c>
      <c r="BH73" s="36">
        <f>T73/100*(53)*25.73</f>
        <v>88854.49480600002</v>
      </c>
      <c r="BI73" s="37">
        <f t="shared" si="6"/>
        <v>128236.93051400002</v>
      </c>
      <c r="BJ73" s="36">
        <v>100461</v>
      </c>
      <c r="BK73" s="37">
        <f t="shared" si="7"/>
        <v>228697.930514</v>
      </c>
      <c r="BL73" s="38">
        <v>2.0263499999999994</v>
      </c>
      <c r="BM73" s="38">
        <f t="shared" si="5"/>
        <v>5.82635</v>
      </c>
      <c r="BN73" s="37">
        <v>49378.57142857143</v>
      </c>
    </row>
    <row r="74" spans="1:66" s="17" customFormat="1" ht="45">
      <c r="A74" s="12" t="s">
        <v>221</v>
      </c>
      <c r="B74" s="2">
        <v>1822</v>
      </c>
      <c r="C74" s="3" t="s">
        <v>33</v>
      </c>
      <c r="D74" s="10" t="s">
        <v>50</v>
      </c>
      <c r="E74" s="10"/>
      <c r="F74" s="11" t="s">
        <v>35</v>
      </c>
      <c r="G74" s="3" t="s">
        <v>36</v>
      </c>
      <c r="H74" s="14" t="s">
        <v>37</v>
      </c>
      <c r="I74" s="31" t="s">
        <v>466</v>
      </c>
      <c r="J74" s="31" t="s">
        <v>41</v>
      </c>
      <c r="K74" s="14" t="s">
        <v>471</v>
      </c>
      <c r="L74" s="18">
        <v>4451</v>
      </c>
      <c r="M74" s="18">
        <v>823</v>
      </c>
      <c r="N74" s="18">
        <v>7315</v>
      </c>
      <c r="O74" s="18">
        <v>5688</v>
      </c>
      <c r="P74" s="18">
        <v>5100</v>
      </c>
      <c r="Q74" s="18">
        <v>4485</v>
      </c>
      <c r="R74" s="18">
        <v>3914</v>
      </c>
      <c r="S74" s="32">
        <f>(R74-Q74)/R74</f>
        <v>-0.1458865610628513</v>
      </c>
      <c r="T74" s="18">
        <f>R74/100*77</f>
        <v>3013.78</v>
      </c>
      <c r="U74" s="14" t="s">
        <v>40</v>
      </c>
      <c r="V74" s="18">
        <v>3289</v>
      </c>
      <c r="W74" s="14" t="s">
        <v>40</v>
      </c>
      <c r="X74" s="18">
        <v>625</v>
      </c>
      <c r="Y74" s="14" t="s">
        <v>40</v>
      </c>
      <c r="Z74" s="33" t="s">
        <v>41</v>
      </c>
      <c r="AA74" s="14" t="s">
        <v>35</v>
      </c>
      <c r="AB74" s="18" t="s">
        <v>41</v>
      </c>
      <c r="AC74" s="14" t="s">
        <v>35</v>
      </c>
      <c r="AD74" s="18" t="s">
        <v>222</v>
      </c>
      <c r="AE74" s="18" t="s">
        <v>41</v>
      </c>
      <c r="AF74" s="18" t="s">
        <v>41</v>
      </c>
      <c r="AG74" s="14" t="s">
        <v>37</v>
      </c>
      <c r="AH74" s="14" t="s">
        <v>41</v>
      </c>
      <c r="AI74" s="20" t="s">
        <v>41</v>
      </c>
      <c r="AJ74" s="14" t="s">
        <v>41</v>
      </c>
      <c r="AK74" s="14" t="s">
        <v>37</v>
      </c>
      <c r="AL74" s="14" t="s">
        <v>41</v>
      </c>
      <c r="AM74" s="14" t="s">
        <v>41</v>
      </c>
      <c r="AN74" s="14" t="s">
        <v>37</v>
      </c>
      <c r="AO74" s="14" t="s">
        <v>41</v>
      </c>
      <c r="AP74" s="14" t="s">
        <v>41</v>
      </c>
      <c r="AQ74" s="14" t="s">
        <v>37</v>
      </c>
      <c r="AR74" s="14" t="s">
        <v>35</v>
      </c>
      <c r="AS74" s="34">
        <v>2</v>
      </c>
      <c r="AT74" s="34">
        <v>0.5</v>
      </c>
      <c r="AU74" s="14" t="s">
        <v>35</v>
      </c>
      <c r="AV74" s="14" t="s">
        <v>38</v>
      </c>
      <c r="AW74" s="14" t="s">
        <v>38</v>
      </c>
      <c r="AX74" s="29">
        <v>34</v>
      </c>
      <c r="AY74" s="29">
        <v>5000</v>
      </c>
      <c r="AZ74" s="29">
        <v>25</v>
      </c>
      <c r="BA74" s="29">
        <v>5118</v>
      </c>
      <c r="BB74" s="14" t="s">
        <v>37</v>
      </c>
      <c r="BC74" s="14">
        <v>25</v>
      </c>
      <c r="BD74" s="14">
        <v>0.6</v>
      </c>
      <c r="BE74" s="14" t="s">
        <v>37</v>
      </c>
      <c r="BF74" s="35" t="s">
        <v>41</v>
      </c>
      <c r="BG74" s="36">
        <f>T74/100*(47)*12.86</f>
        <v>18215.889076000003</v>
      </c>
      <c r="BH74" s="36">
        <f>T74/100*(53)*25.73</f>
        <v>41098.616482</v>
      </c>
      <c r="BI74" s="37">
        <f t="shared" si="6"/>
        <v>59314.505558000004</v>
      </c>
      <c r="BJ74" s="36"/>
      <c r="BK74" s="37">
        <f t="shared" si="7"/>
        <v>59314.505558000004</v>
      </c>
      <c r="BL74" s="38">
        <v>0.31995</v>
      </c>
      <c r="BM74" s="38">
        <f t="shared" si="5"/>
        <v>0.91995</v>
      </c>
      <c r="BN74" s="37">
        <v>36557.142857142855</v>
      </c>
    </row>
    <row r="75" spans="1:66" s="17" customFormat="1" ht="45">
      <c r="A75" s="12" t="s">
        <v>223</v>
      </c>
      <c r="B75" s="2">
        <v>136</v>
      </c>
      <c r="C75" s="3" t="s">
        <v>33</v>
      </c>
      <c r="D75" s="10" t="s">
        <v>50</v>
      </c>
      <c r="E75" s="10"/>
      <c r="F75" s="11" t="s">
        <v>35</v>
      </c>
      <c r="G75" s="3" t="s">
        <v>36</v>
      </c>
      <c r="H75" s="14" t="s">
        <v>36</v>
      </c>
      <c r="I75" s="31" t="s">
        <v>466</v>
      </c>
      <c r="J75" s="31">
        <v>651</v>
      </c>
      <c r="K75" s="14" t="s">
        <v>471</v>
      </c>
      <c r="L75" s="18">
        <v>7389</v>
      </c>
      <c r="M75" s="18">
        <v>9013</v>
      </c>
      <c r="N75" s="18">
        <v>8558</v>
      </c>
      <c r="O75" s="18">
        <v>9439</v>
      </c>
      <c r="P75" s="18">
        <v>8793</v>
      </c>
      <c r="Q75" s="18">
        <v>9284</v>
      </c>
      <c r="R75" s="18">
        <v>8438</v>
      </c>
      <c r="S75" s="32">
        <f>(R75-Q75)/R75</f>
        <v>-0.10026072529035317</v>
      </c>
      <c r="T75" s="18">
        <f>R75/100*77</f>
        <v>6497.259999999999</v>
      </c>
      <c r="U75" s="14" t="s">
        <v>40</v>
      </c>
      <c r="V75" s="18">
        <v>6496</v>
      </c>
      <c r="W75" s="14" t="s">
        <v>40</v>
      </c>
      <c r="X75" s="18">
        <v>1942</v>
      </c>
      <c r="Y75" s="14" t="s">
        <v>40</v>
      </c>
      <c r="Z75" s="33" t="s">
        <v>224</v>
      </c>
      <c r="AA75" s="14" t="s">
        <v>35</v>
      </c>
      <c r="AB75" s="18">
        <v>11325</v>
      </c>
      <c r="AC75" s="14" t="s">
        <v>38</v>
      </c>
      <c r="AD75" s="18" t="s">
        <v>37</v>
      </c>
      <c r="AE75" s="18">
        <v>2</v>
      </c>
      <c r="AF75" s="18">
        <v>50</v>
      </c>
      <c r="AG75" s="14" t="s">
        <v>42</v>
      </c>
      <c r="AH75" s="14">
        <v>4</v>
      </c>
      <c r="AI75" s="20">
        <v>300</v>
      </c>
      <c r="AJ75" s="14">
        <v>2</v>
      </c>
      <c r="AK75" s="14" t="s">
        <v>40</v>
      </c>
      <c r="AL75" s="14">
        <v>2</v>
      </c>
      <c r="AM75" s="14">
        <v>300</v>
      </c>
      <c r="AN75" s="14" t="s">
        <v>42</v>
      </c>
      <c r="AO75" s="14">
        <v>0</v>
      </c>
      <c r="AP75" s="14" t="s">
        <v>37</v>
      </c>
      <c r="AQ75" s="14" t="s">
        <v>40</v>
      </c>
      <c r="AR75" s="14" t="s">
        <v>38</v>
      </c>
      <c r="AS75" s="34"/>
      <c r="AT75" s="34"/>
      <c r="AU75" s="14" t="s">
        <v>35</v>
      </c>
      <c r="AV75" s="14" t="s">
        <v>38</v>
      </c>
      <c r="AW75" s="14" t="s">
        <v>38</v>
      </c>
      <c r="AX75" s="29">
        <v>30</v>
      </c>
      <c r="AY75" s="29">
        <v>1500</v>
      </c>
      <c r="AZ75" s="29">
        <v>36</v>
      </c>
      <c r="BA75" s="29">
        <v>951</v>
      </c>
      <c r="BB75" s="14" t="s">
        <v>42</v>
      </c>
      <c r="BC75" s="14">
        <v>0</v>
      </c>
      <c r="BD75" s="14">
        <v>0</v>
      </c>
      <c r="BE75" s="14" t="s">
        <v>40</v>
      </c>
      <c r="BF75" s="35" t="s">
        <v>85</v>
      </c>
      <c r="BG75" s="36">
        <f>T75/100*(47)*12.86</f>
        <v>39270.738891999994</v>
      </c>
      <c r="BH75" s="36">
        <f>T75/100*(53)*25.73</f>
        <v>88602.484894</v>
      </c>
      <c r="BI75" s="37">
        <f t="shared" si="6"/>
        <v>127873.22378599999</v>
      </c>
      <c r="BJ75" s="36"/>
      <c r="BK75" s="37">
        <f t="shared" si="7"/>
        <v>127873.22378599999</v>
      </c>
      <c r="BL75" s="38">
        <v>0</v>
      </c>
      <c r="BM75" s="38">
        <f t="shared" si="5"/>
        <v>0</v>
      </c>
      <c r="BN75" s="37">
        <v>6792.857142857143</v>
      </c>
    </row>
    <row r="76" spans="1:66" s="17" customFormat="1" ht="375">
      <c r="A76" s="12" t="s">
        <v>225</v>
      </c>
      <c r="B76" s="2">
        <v>910</v>
      </c>
      <c r="C76" s="3" t="s">
        <v>33</v>
      </c>
      <c r="D76" s="3" t="s">
        <v>57</v>
      </c>
      <c r="E76" s="3"/>
      <c r="F76" s="11" t="s">
        <v>35</v>
      </c>
      <c r="G76" s="3" t="s">
        <v>67</v>
      </c>
      <c r="H76" s="14" t="s">
        <v>37</v>
      </c>
      <c r="I76" s="31" t="s">
        <v>465</v>
      </c>
      <c r="J76" s="31">
        <v>1300</v>
      </c>
      <c r="K76" s="14" t="s">
        <v>472</v>
      </c>
      <c r="L76" s="18">
        <v>9602</v>
      </c>
      <c r="M76" s="18">
        <v>10582</v>
      </c>
      <c r="N76" s="18">
        <v>10581</v>
      </c>
      <c r="O76" s="18">
        <v>8731</v>
      </c>
      <c r="P76" s="18">
        <v>5260</v>
      </c>
      <c r="Q76" s="18">
        <v>5796</v>
      </c>
      <c r="R76" s="18">
        <v>12873</v>
      </c>
      <c r="S76" s="32">
        <f>(R76-Q76)/R76</f>
        <v>0.5497553017944535</v>
      </c>
      <c r="T76" s="18">
        <f>R76/100*73</f>
        <v>9397.289999999999</v>
      </c>
      <c r="U76" s="14" t="s">
        <v>40</v>
      </c>
      <c r="V76" s="18">
        <v>3055</v>
      </c>
      <c r="W76" s="14" t="s">
        <v>40</v>
      </c>
      <c r="X76" s="18">
        <v>1420</v>
      </c>
      <c r="Y76" s="14" t="s">
        <v>40</v>
      </c>
      <c r="Z76" s="33" t="s">
        <v>41</v>
      </c>
      <c r="AA76" s="14" t="s">
        <v>35</v>
      </c>
      <c r="AB76" s="18">
        <v>13084</v>
      </c>
      <c r="AC76" s="14" t="s">
        <v>35</v>
      </c>
      <c r="AD76" s="18">
        <v>11567</v>
      </c>
      <c r="AE76" s="18">
        <v>3</v>
      </c>
      <c r="AF76" s="18">
        <v>206</v>
      </c>
      <c r="AG76" s="14" t="s">
        <v>40</v>
      </c>
      <c r="AH76" s="14">
        <v>69</v>
      </c>
      <c r="AI76" s="51">
        <v>5665</v>
      </c>
      <c r="AJ76" s="14">
        <v>34</v>
      </c>
      <c r="AK76" s="14" t="s">
        <v>40</v>
      </c>
      <c r="AL76" s="14">
        <v>80</v>
      </c>
      <c r="AM76" s="14">
        <v>996</v>
      </c>
      <c r="AN76" s="14" t="s">
        <v>40</v>
      </c>
      <c r="AO76" s="14">
        <v>24</v>
      </c>
      <c r="AP76" s="29">
        <v>1329</v>
      </c>
      <c r="AQ76" s="14" t="s">
        <v>40</v>
      </c>
      <c r="AR76" s="14" t="s">
        <v>38</v>
      </c>
      <c r="AS76" s="34"/>
      <c r="AT76" s="34"/>
      <c r="AU76" s="14" t="s">
        <v>38</v>
      </c>
      <c r="AV76" s="14" t="s">
        <v>38</v>
      </c>
      <c r="AW76" s="14" t="s">
        <v>38</v>
      </c>
      <c r="AX76" s="29">
        <v>12</v>
      </c>
      <c r="AY76" s="29">
        <v>2496</v>
      </c>
      <c r="AZ76" s="29">
        <v>7</v>
      </c>
      <c r="BA76" s="29">
        <v>710</v>
      </c>
      <c r="BB76" s="14" t="s">
        <v>40</v>
      </c>
      <c r="BC76" s="14">
        <v>5</v>
      </c>
      <c r="BD76" s="14">
        <v>1.5</v>
      </c>
      <c r="BE76" s="14" t="s">
        <v>40</v>
      </c>
      <c r="BF76" s="35" t="s">
        <v>226</v>
      </c>
      <c r="BG76" s="36">
        <f>T76/100*(44)*11.29</f>
        <v>46681.977803999995</v>
      </c>
      <c r="BH76" s="36">
        <f>T76/100*(56)*22.59</f>
        <v>118879.477416</v>
      </c>
      <c r="BI76" s="37">
        <f t="shared" si="6"/>
        <v>165561.45522</v>
      </c>
      <c r="BJ76" s="36">
        <v>15104.309999999998</v>
      </c>
      <c r="BK76" s="37">
        <f t="shared" si="7"/>
        <v>180665.76522</v>
      </c>
      <c r="BL76" s="38">
        <v>0.74925</v>
      </c>
      <c r="BM76" s="38">
        <f t="shared" si="5"/>
        <v>2.24925</v>
      </c>
      <c r="BN76" s="37">
        <v>5071.428571428572</v>
      </c>
    </row>
    <row r="77" spans="1:66" s="17" customFormat="1" ht="45">
      <c r="A77" s="13" t="s">
        <v>227</v>
      </c>
      <c r="B77" s="2"/>
      <c r="C77" s="3" t="s">
        <v>209</v>
      </c>
      <c r="D77" s="3" t="s">
        <v>61</v>
      </c>
      <c r="E77" s="3"/>
      <c r="F77" s="11" t="s">
        <v>35</v>
      </c>
      <c r="G77" s="14" t="s">
        <v>36</v>
      </c>
      <c r="H77" s="14" t="s">
        <v>36</v>
      </c>
      <c r="I77" s="31" t="s">
        <v>466</v>
      </c>
      <c r="J77" s="31">
        <v>480</v>
      </c>
      <c r="K77" s="14" t="s">
        <v>471</v>
      </c>
      <c r="L77" s="18">
        <v>2491</v>
      </c>
      <c r="M77" s="18">
        <v>2889</v>
      </c>
      <c r="N77" s="18">
        <v>2092</v>
      </c>
      <c r="O77" s="18">
        <v>1345</v>
      </c>
      <c r="P77" s="18">
        <v>1750</v>
      </c>
      <c r="Q77" s="18"/>
      <c r="R77" s="18">
        <v>2795</v>
      </c>
      <c r="S77" s="32"/>
      <c r="T77" s="18">
        <f>R77/100*77</f>
        <v>2152.15</v>
      </c>
      <c r="U77" s="14" t="s">
        <v>42</v>
      </c>
      <c r="V77" s="18">
        <v>2039</v>
      </c>
      <c r="W77" s="14" t="s">
        <v>42</v>
      </c>
      <c r="X77" s="18">
        <v>525</v>
      </c>
      <c r="Y77" s="14" t="s">
        <v>42</v>
      </c>
      <c r="Z77" s="33" t="s">
        <v>37</v>
      </c>
      <c r="AA77" s="14" t="s">
        <v>35</v>
      </c>
      <c r="AB77" s="18" t="s">
        <v>228</v>
      </c>
      <c r="AC77" s="14" t="s">
        <v>35</v>
      </c>
      <c r="AD77" s="18" t="s">
        <v>229</v>
      </c>
      <c r="AE77" s="18">
        <v>0</v>
      </c>
      <c r="AF77" s="18">
        <v>0</v>
      </c>
      <c r="AG77" s="14" t="s">
        <v>37</v>
      </c>
      <c r="AH77" s="14">
        <v>1</v>
      </c>
      <c r="AI77" s="20">
        <v>25</v>
      </c>
      <c r="AJ77" s="14">
        <v>3</v>
      </c>
      <c r="AK77" s="14" t="s">
        <v>40</v>
      </c>
      <c r="AL77" s="14">
        <v>0</v>
      </c>
      <c r="AM77" s="14">
        <v>0</v>
      </c>
      <c r="AN77" s="14" t="s">
        <v>42</v>
      </c>
      <c r="AO77" s="14">
        <v>2</v>
      </c>
      <c r="AP77" s="14" t="s">
        <v>230</v>
      </c>
      <c r="AQ77" s="14" t="s">
        <v>42</v>
      </c>
      <c r="AR77" s="14" t="s">
        <v>35</v>
      </c>
      <c r="AS77" s="34">
        <v>2</v>
      </c>
      <c r="AT77" s="34">
        <v>0.5</v>
      </c>
      <c r="AU77" s="14" t="s">
        <v>35</v>
      </c>
      <c r="AV77" s="14" t="s">
        <v>38</v>
      </c>
      <c r="AW77" s="14" t="s">
        <v>38</v>
      </c>
      <c r="AX77" s="29"/>
      <c r="AY77" s="29"/>
      <c r="AZ77" s="29">
        <v>50</v>
      </c>
      <c r="BA77" s="29" t="s">
        <v>230</v>
      </c>
      <c r="BB77" s="14" t="s">
        <v>42</v>
      </c>
      <c r="BC77" s="14" t="s">
        <v>37</v>
      </c>
      <c r="BD77" s="14" t="s">
        <v>37</v>
      </c>
      <c r="BE77" s="14" t="s">
        <v>37</v>
      </c>
      <c r="BF77" s="35" t="s">
        <v>231</v>
      </c>
      <c r="BG77" s="36">
        <f>T77/100*(47)*12.91</f>
        <v>13058.600554999999</v>
      </c>
      <c r="BH77" s="36">
        <f>T77/100*(53)*25.82</f>
        <v>29451.31189</v>
      </c>
      <c r="BI77" s="37">
        <f t="shared" si="6"/>
        <v>42509.912445</v>
      </c>
      <c r="BJ77" s="36">
        <v>2290</v>
      </c>
      <c r="BK77" s="37">
        <f t="shared" si="7"/>
        <v>44799.912445</v>
      </c>
      <c r="BL77" s="38"/>
      <c r="BM77" s="38"/>
      <c r="BN77" s="37"/>
    </row>
    <row r="78" spans="1:66" s="17" customFormat="1" ht="60">
      <c r="A78" s="12" t="s">
        <v>232</v>
      </c>
      <c r="B78" s="2">
        <v>672</v>
      </c>
      <c r="C78" s="3" t="s">
        <v>33</v>
      </c>
      <c r="D78" s="16" t="s">
        <v>44</v>
      </c>
      <c r="E78" s="16"/>
      <c r="F78" s="11" t="s">
        <v>35</v>
      </c>
      <c r="G78" s="3" t="s">
        <v>36</v>
      </c>
      <c r="H78" s="14" t="s">
        <v>37</v>
      </c>
      <c r="I78" s="31" t="s">
        <v>465</v>
      </c>
      <c r="J78" s="31">
        <v>573</v>
      </c>
      <c r="K78" s="14" t="s">
        <v>471</v>
      </c>
      <c r="L78" s="18">
        <v>3332</v>
      </c>
      <c r="M78" s="18">
        <v>3028</v>
      </c>
      <c r="N78" s="18">
        <v>3694</v>
      </c>
      <c r="O78" s="18">
        <v>2748</v>
      </c>
      <c r="P78" s="18">
        <v>3372</v>
      </c>
      <c r="Q78" s="18">
        <v>3842</v>
      </c>
      <c r="R78" s="18">
        <v>2764</v>
      </c>
      <c r="S78" s="32">
        <f>(R78-Q78)/R78</f>
        <v>-0.39001447178002896</v>
      </c>
      <c r="T78" s="18">
        <f>R78/100*77</f>
        <v>2128.28</v>
      </c>
      <c r="U78" s="14" t="s">
        <v>40</v>
      </c>
      <c r="V78" s="18">
        <v>2342</v>
      </c>
      <c r="W78" s="14" t="s">
        <v>40</v>
      </c>
      <c r="X78" s="18">
        <v>422</v>
      </c>
      <c r="Y78" s="14" t="s">
        <v>40</v>
      </c>
      <c r="Z78" s="33" t="s">
        <v>41</v>
      </c>
      <c r="AA78" s="14" t="s">
        <v>35</v>
      </c>
      <c r="AB78" s="18">
        <v>32171</v>
      </c>
      <c r="AC78" s="14" t="s">
        <v>35</v>
      </c>
      <c r="AD78" s="18">
        <v>461</v>
      </c>
      <c r="AE78" s="18">
        <v>14</v>
      </c>
      <c r="AF78" s="18">
        <v>332</v>
      </c>
      <c r="AG78" s="14" t="s">
        <v>42</v>
      </c>
      <c r="AH78" s="14">
        <v>9</v>
      </c>
      <c r="AI78" s="20">
        <v>270</v>
      </c>
      <c r="AJ78" s="14">
        <v>5</v>
      </c>
      <c r="AK78" s="14" t="s">
        <v>42</v>
      </c>
      <c r="AL78" s="14">
        <v>9</v>
      </c>
      <c r="AM78" s="14">
        <v>1000</v>
      </c>
      <c r="AN78" s="14" t="s">
        <v>481</v>
      </c>
      <c r="AO78" s="14">
        <v>9</v>
      </c>
      <c r="AP78" s="14">
        <v>270</v>
      </c>
      <c r="AQ78" s="14" t="s">
        <v>37</v>
      </c>
      <c r="AR78" s="14" t="s">
        <v>38</v>
      </c>
      <c r="AS78" s="34"/>
      <c r="AT78" s="34"/>
      <c r="AU78" s="14" t="s">
        <v>35</v>
      </c>
      <c r="AV78" s="14" t="s">
        <v>38</v>
      </c>
      <c r="AW78" s="14" t="s">
        <v>38</v>
      </c>
      <c r="AX78" s="29">
        <v>38</v>
      </c>
      <c r="AY78" s="29">
        <v>5968</v>
      </c>
      <c r="AZ78" s="29">
        <v>53</v>
      </c>
      <c r="BA78" s="29">
        <v>6000</v>
      </c>
      <c r="BB78" s="14" t="s">
        <v>42</v>
      </c>
      <c r="BC78" s="14">
        <v>0</v>
      </c>
      <c r="BD78" s="14">
        <v>0</v>
      </c>
      <c r="BE78" s="14" t="s">
        <v>40</v>
      </c>
      <c r="BF78" s="35" t="s">
        <v>233</v>
      </c>
      <c r="BG78" s="36">
        <f>T78/100*(47)*17.99</f>
        <v>17995.245884</v>
      </c>
      <c r="BH78" s="36">
        <f>T78/100*(53)*35.98</f>
        <v>40585.022632</v>
      </c>
      <c r="BI78" s="37">
        <f t="shared" si="6"/>
        <v>58580.268516</v>
      </c>
      <c r="BJ78" s="36">
        <v>8000</v>
      </c>
      <c r="BK78" s="37">
        <f t="shared" si="7"/>
        <v>66580.268516</v>
      </c>
      <c r="BL78" s="38">
        <v>0</v>
      </c>
      <c r="BM78" s="38">
        <f t="shared" si="5"/>
        <v>0</v>
      </c>
      <c r="BN78" s="37">
        <v>42857.142857142855</v>
      </c>
    </row>
    <row r="79" spans="1:66" s="17" customFormat="1" ht="46.5" customHeight="1">
      <c r="A79" s="3" t="s">
        <v>234</v>
      </c>
      <c r="B79" s="2">
        <v>1757</v>
      </c>
      <c r="C79" s="3" t="s">
        <v>33</v>
      </c>
      <c r="D79" s="16" t="s">
        <v>50</v>
      </c>
      <c r="E79" s="16"/>
      <c r="F79" s="11"/>
      <c r="G79" s="3" t="s">
        <v>55</v>
      </c>
      <c r="H79" s="14"/>
      <c r="I79" s="39"/>
      <c r="J79" s="39"/>
      <c r="K79" s="14"/>
      <c r="L79" s="18"/>
      <c r="M79" s="18"/>
      <c r="N79" s="18"/>
      <c r="O79" s="18"/>
      <c r="P79" s="18"/>
      <c r="Q79" s="18"/>
      <c r="R79" s="18"/>
      <c r="S79" s="32"/>
      <c r="T79" s="18"/>
      <c r="U79" s="14"/>
      <c r="V79" s="18"/>
      <c r="W79" s="14"/>
      <c r="X79" s="18"/>
      <c r="Y79" s="14"/>
      <c r="Z79" s="33"/>
      <c r="AA79" s="14" t="s">
        <v>35</v>
      </c>
      <c r="AB79" s="18"/>
      <c r="AC79" s="14"/>
      <c r="AD79" s="18"/>
      <c r="AE79" s="18"/>
      <c r="AF79" s="18"/>
      <c r="AG79" s="14"/>
      <c r="AH79" s="14"/>
      <c r="AI79" s="20"/>
      <c r="AJ79" s="14"/>
      <c r="AK79" s="14"/>
      <c r="AL79" s="14"/>
      <c r="AM79" s="14"/>
      <c r="AN79" s="14"/>
      <c r="AO79" s="14"/>
      <c r="AP79" s="14"/>
      <c r="AQ79" s="14"/>
      <c r="AR79" s="14" t="s">
        <v>35</v>
      </c>
      <c r="AS79" s="34">
        <v>7.5</v>
      </c>
      <c r="AT79" s="34">
        <v>3.75</v>
      </c>
      <c r="AU79" s="14" t="s">
        <v>35</v>
      </c>
      <c r="AV79" s="14"/>
      <c r="AW79" s="14"/>
      <c r="AX79" s="29"/>
      <c r="AY79" s="29"/>
      <c r="AZ79" s="29"/>
      <c r="BA79" s="29"/>
      <c r="BB79" s="14"/>
      <c r="BC79" s="14"/>
      <c r="BD79" s="14"/>
      <c r="BE79" s="14"/>
      <c r="BF79" s="35"/>
      <c r="BG79" s="36"/>
      <c r="BH79" s="36"/>
      <c r="BI79" s="37"/>
      <c r="BJ79" s="36"/>
      <c r="BK79" s="37"/>
      <c r="BL79" s="38"/>
      <c r="BM79" s="38">
        <f t="shared" si="5"/>
        <v>0</v>
      </c>
      <c r="BN79" s="37"/>
    </row>
    <row r="80" spans="1:66" s="17" customFormat="1" ht="45">
      <c r="A80" s="13" t="s">
        <v>235</v>
      </c>
      <c r="B80" s="2">
        <v>659</v>
      </c>
      <c r="C80" s="3" t="s">
        <v>33</v>
      </c>
      <c r="D80" s="3" t="s">
        <v>61</v>
      </c>
      <c r="E80" s="3"/>
      <c r="F80" s="11" t="s">
        <v>35</v>
      </c>
      <c r="G80" s="3" t="s">
        <v>36</v>
      </c>
      <c r="H80" s="14" t="s">
        <v>36</v>
      </c>
      <c r="I80" s="31" t="s">
        <v>466</v>
      </c>
      <c r="J80" s="31">
        <v>350</v>
      </c>
      <c r="K80" s="14" t="s">
        <v>471</v>
      </c>
      <c r="L80" s="18"/>
      <c r="M80" s="18"/>
      <c r="N80" s="18">
        <v>2673</v>
      </c>
      <c r="O80" s="18">
        <v>2914</v>
      </c>
      <c r="P80" s="18">
        <v>2612</v>
      </c>
      <c r="Q80" s="18">
        <v>2625</v>
      </c>
      <c r="R80" s="18">
        <v>2947</v>
      </c>
      <c r="S80" s="32">
        <f>(R80-Q80)/R80</f>
        <v>0.10926365795724466</v>
      </c>
      <c r="T80" s="18">
        <f>R80/100*77</f>
        <v>2269.19</v>
      </c>
      <c r="U80" s="14" t="s">
        <v>40</v>
      </c>
      <c r="V80" s="18">
        <v>2270</v>
      </c>
      <c r="W80" s="14" t="s">
        <v>40</v>
      </c>
      <c r="X80" s="18">
        <v>677</v>
      </c>
      <c r="Y80" s="14" t="s">
        <v>40</v>
      </c>
      <c r="Z80" s="33" t="s">
        <v>38</v>
      </c>
      <c r="AA80" s="14" t="s">
        <v>35</v>
      </c>
      <c r="AB80" s="18">
        <v>27239</v>
      </c>
      <c r="AC80" s="14" t="s">
        <v>35</v>
      </c>
      <c r="AD80" s="18" t="s">
        <v>236</v>
      </c>
      <c r="AE80" s="18">
        <v>7</v>
      </c>
      <c r="AF80" s="18">
        <v>200</v>
      </c>
      <c r="AG80" s="14" t="s">
        <v>42</v>
      </c>
      <c r="AH80" s="14">
        <v>2</v>
      </c>
      <c r="AI80" s="20">
        <v>50</v>
      </c>
      <c r="AJ80" s="14">
        <v>5</v>
      </c>
      <c r="AK80" s="14" t="s">
        <v>40</v>
      </c>
      <c r="AL80" s="14">
        <v>8</v>
      </c>
      <c r="AM80" s="14">
        <v>300</v>
      </c>
      <c r="AN80" s="14" t="s">
        <v>42</v>
      </c>
      <c r="AO80" s="14">
        <v>20</v>
      </c>
      <c r="AP80" s="14">
        <v>400</v>
      </c>
      <c r="AQ80" s="14" t="s">
        <v>42</v>
      </c>
      <c r="AR80" s="14" t="s">
        <v>35</v>
      </c>
      <c r="AS80" s="34">
        <v>1</v>
      </c>
      <c r="AT80" s="34">
        <v>0.5</v>
      </c>
      <c r="AU80" s="14" t="s">
        <v>35</v>
      </c>
      <c r="AV80" s="14" t="s">
        <v>38</v>
      </c>
      <c r="AW80" s="14" t="s">
        <v>38</v>
      </c>
      <c r="AX80" s="29">
        <v>39</v>
      </c>
      <c r="AY80" s="29">
        <v>4000</v>
      </c>
      <c r="AZ80" s="29">
        <v>50</v>
      </c>
      <c r="BA80" s="29" t="s">
        <v>237</v>
      </c>
      <c r="BB80" s="14" t="s">
        <v>42</v>
      </c>
      <c r="BC80" s="14">
        <v>0</v>
      </c>
      <c r="BD80" s="14">
        <v>0</v>
      </c>
      <c r="BE80" s="14" t="s">
        <v>37</v>
      </c>
      <c r="BF80" s="35" t="s">
        <v>46</v>
      </c>
      <c r="BG80" s="36">
        <f>T80/100*(47)*12.91</f>
        <v>13768.764163</v>
      </c>
      <c r="BH80" s="36">
        <f>T80/100*(53)*25.82</f>
        <v>31052.957474000003</v>
      </c>
      <c r="BI80" s="37">
        <f t="shared" si="6"/>
        <v>44821.721637</v>
      </c>
      <c r="BJ80" s="36">
        <v>10671</v>
      </c>
      <c r="BK80" s="37">
        <f>BJ80+BI80</f>
        <v>55492.721637</v>
      </c>
      <c r="BL80" s="38">
        <v>0</v>
      </c>
      <c r="BM80" s="38">
        <f t="shared" si="5"/>
        <v>0</v>
      </c>
      <c r="BN80" s="37"/>
    </row>
    <row r="81" spans="1:66" s="17" customFormat="1" ht="46.5" customHeight="1">
      <c r="A81" s="12" t="s">
        <v>238</v>
      </c>
      <c r="B81" s="2">
        <v>2273</v>
      </c>
      <c r="C81" s="3" t="s">
        <v>33</v>
      </c>
      <c r="D81" s="10" t="s">
        <v>50</v>
      </c>
      <c r="E81" s="10"/>
      <c r="F81" s="11"/>
      <c r="G81" s="3" t="s">
        <v>36</v>
      </c>
      <c r="H81" s="14"/>
      <c r="I81" s="39"/>
      <c r="J81" s="39"/>
      <c r="K81" s="14"/>
      <c r="L81" s="18"/>
      <c r="M81" s="18"/>
      <c r="N81" s="18">
        <v>7000</v>
      </c>
      <c r="O81" s="18">
        <v>10000</v>
      </c>
      <c r="P81" s="18"/>
      <c r="Q81" s="18"/>
      <c r="R81" s="18"/>
      <c r="S81" s="32"/>
      <c r="T81" s="18"/>
      <c r="U81" s="14"/>
      <c r="V81" s="18"/>
      <c r="W81" s="14"/>
      <c r="X81" s="18"/>
      <c r="Y81" s="14"/>
      <c r="Z81" s="33"/>
      <c r="AA81" s="14" t="s">
        <v>35</v>
      </c>
      <c r="AB81" s="18"/>
      <c r="AC81" s="14"/>
      <c r="AD81" s="18"/>
      <c r="AE81" s="18"/>
      <c r="AF81" s="18"/>
      <c r="AG81" s="14"/>
      <c r="AH81" s="14"/>
      <c r="AI81" s="20"/>
      <c r="AJ81" s="14"/>
      <c r="AK81" s="14"/>
      <c r="AL81" s="14"/>
      <c r="AM81" s="14"/>
      <c r="AN81" s="14"/>
      <c r="AO81" s="14"/>
      <c r="AP81" s="14"/>
      <c r="AQ81" s="14"/>
      <c r="AR81" s="14" t="s">
        <v>35</v>
      </c>
      <c r="AS81" s="34">
        <v>8</v>
      </c>
      <c r="AT81" s="34">
        <v>4</v>
      </c>
      <c r="AU81" s="14" t="s">
        <v>35</v>
      </c>
      <c r="AV81" s="14"/>
      <c r="AW81" s="14"/>
      <c r="AX81" s="29"/>
      <c r="AY81" s="29"/>
      <c r="AZ81" s="29"/>
      <c r="BA81" s="29"/>
      <c r="BB81" s="14"/>
      <c r="BC81" s="14"/>
      <c r="BD81" s="14"/>
      <c r="BE81" s="14"/>
      <c r="BF81" s="35"/>
      <c r="BG81" s="36"/>
      <c r="BH81" s="36"/>
      <c r="BI81" s="37"/>
      <c r="BJ81" s="36"/>
      <c r="BK81" s="37"/>
      <c r="BL81" s="38"/>
      <c r="BM81" s="38">
        <f t="shared" si="5"/>
        <v>0</v>
      </c>
      <c r="BN81" s="37"/>
    </row>
    <row r="82" spans="1:66" s="17" customFormat="1" ht="75">
      <c r="A82" s="12" t="s">
        <v>239</v>
      </c>
      <c r="B82" s="2">
        <v>715</v>
      </c>
      <c r="C82" s="3" t="s">
        <v>33</v>
      </c>
      <c r="D82" s="10" t="s">
        <v>50</v>
      </c>
      <c r="E82" s="10"/>
      <c r="F82" s="11" t="s">
        <v>35</v>
      </c>
      <c r="G82" s="3" t="s">
        <v>36</v>
      </c>
      <c r="H82" s="14" t="s">
        <v>37</v>
      </c>
      <c r="I82" s="31" t="s">
        <v>466</v>
      </c>
      <c r="J82" s="31" t="s">
        <v>41</v>
      </c>
      <c r="K82" s="14" t="s">
        <v>471</v>
      </c>
      <c r="L82" s="18">
        <v>2425</v>
      </c>
      <c r="M82" s="18">
        <v>3304</v>
      </c>
      <c r="N82" s="18"/>
      <c r="O82" s="18"/>
      <c r="P82" s="18"/>
      <c r="Q82" s="18"/>
      <c r="R82" s="18">
        <v>3378</v>
      </c>
      <c r="S82" s="32"/>
      <c r="T82" s="18">
        <f>R82/100*77</f>
        <v>2601.06</v>
      </c>
      <c r="U82" s="14" t="s">
        <v>37</v>
      </c>
      <c r="V82" s="18">
        <v>2489</v>
      </c>
      <c r="W82" s="14" t="s">
        <v>40</v>
      </c>
      <c r="X82" s="18">
        <v>889</v>
      </c>
      <c r="Y82" s="14" t="s">
        <v>40</v>
      </c>
      <c r="Z82" s="33" t="s">
        <v>240</v>
      </c>
      <c r="AA82" s="14" t="s">
        <v>35</v>
      </c>
      <c r="AB82" s="18" t="s">
        <v>46</v>
      </c>
      <c r="AC82" s="14" t="s">
        <v>35</v>
      </c>
      <c r="AD82" s="18" t="s">
        <v>241</v>
      </c>
      <c r="AE82" s="18">
        <v>6</v>
      </c>
      <c r="AF82" s="18">
        <v>156</v>
      </c>
      <c r="AG82" s="14" t="s">
        <v>40</v>
      </c>
      <c r="AH82" s="14">
        <v>4</v>
      </c>
      <c r="AI82" s="20">
        <v>200</v>
      </c>
      <c r="AJ82" s="14">
        <v>3</v>
      </c>
      <c r="AK82" s="14" t="s">
        <v>40</v>
      </c>
      <c r="AL82" s="14">
        <v>16</v>
      </c>
      <c r="AM82" s="14">
        <v>1331</v>
      </c>
      <c r="AN82" s="14" t="s">
        <v>40</v>
      </c>
      <c r="AO82" s="14">
        <v>6</v>
      </c>
      <c r="AP82" s="14">
        <v>328</v>
      </c>
      <c r="AQ82" s="14" t="s">
        <v>40</v>
      </c>
      <c r="AR82" s="14" t="s">
        <v>38</v>
      </c>
      <c r="AS82" s="34"/>
      <c r="AT82" s="34"/>
      <c r="AU82" s="14" t="s">
        <v>35</v>
      </c>
      <c r="AV82" s="14" t="s">
        <v>38</v>
      </c>
      <c r="AW82" s="14" t="s">
        <v>38</v>
      </c>
      <c r="AX82" s="29"/>
      <c r="AY82" s="29"/>
      <c r="AZ82" s="29">
        <v>75</v>
      </c>
      <c r="BA82" s="29">
        <v>5903</v>
      </c>
      <c r="BB82" s="14" t="s">
        <v>40</v>
      </c>
      <c r="BC82" s="14">
        <v>0</v>
      </c>
      <c r="BD82" s="14">
        <v>0</v>
      </c>
      <c r="BE82" s="14" t="s">
        <v>37</v>
      </c>
      <c r="BF82" s="35" t="s">
        <v>242</v>
      </c>
      <c r="BG82" s="36">
        <f>T82/100*(47)*12.86</f>
        <v>15721.326852</v>
      </c>
      <c r="BH82" s="36">
        <f>T82/100*(53)*25.73</f>
        <v>35470.395114</v>
      </c>
      <c r="BI82" s="37">
        <f t="shared" si="6"/>
        <v>51191.721966</v>
      </c>
      <c r="BJ82" s="36">
        <v>4981</v>
      </c>
      <c r="BK82" s="37">
        <f>BJ82+BI82</f>
        <v>56172.721966</v>
      </c>
      <c r="BL82" s="38"/>
      <c r="BM82" s="38">
        <f t="shared" si="5"/>
        <v>0</v>
      </c>
      <c r="BN82" s="37">
        <v>42164.28571428572</v>
      </c>
    </row>
    <row r="83" spans="1:66" s="17" customFormat="1" ht="171" customHeight="1">
      <c r="A83" s="13" t="s">
        <v>243</v>
      </c>
      <c r="B83" s="2">
        <v>575</v>
      </c>
      <c r="C83" s="3" t="s">
        <v>33</v>
      </c>
      <c r="D83" s="3" t="s">
        <v>57</v>
      </c>
      <c r="E83" s="3" t="s">
        <v>244</v>
      </c>
      <c r="F83" s="11"/>
      <c r="G83" s="3" t="s">
        <v>67</v>
      </c>
      <c r="H83" s="14"/>
      <c r="I83" s="39"/>
      <c r="J83" s="39"/>
      <c r="K83" s="14"/>
      <c r="L83" s="18">
        <v>17679</v>
      </c>
      <c r="M83" s="18">
        <v>19979</v>
      </c>
      <c r="N83" s="18">
        <v>20574</v>
      </c>
      <c r="O83" s="18">
        <v>13210</v>
      </c>
      <c r="P83" s="18">
        <v>13563</v>
      </c>
      <c r="Q83" s="18">
        <v>15677</v>
      </c>
      <c r="R83" s="18"/>
      <c r="S83" s="32"/>
      <c r="T83" s="18"/>
      <c r="U83" s="14"/>
      <c r="V83" s="18"/>
      <c r="W83" s="14"/>
      <c r="X83" s="18"/>
      <c r="Y83" s="14"/>
      <c r="Z83" s="33"/>
      <c r="AA83" s="14" t="s">
        <v>38</v>
      </c>
      <c r="AB83" s="18"/>
      <c r="AC83" s="14"/>
      <c r="AD83" s="18"/>
      <c r="AE83" s="18"/>
      <c r="AF83" s="18"/>
      <c r="AG83" s="14"/>
      <c r="AH83" s="14"/>
      <c r="AI83" s="20"/>
      <c r="AJ83" s="14"/>
      <c r="AK83" s="14"/>
      <c r="AL83" s="14"/>
      <c r="AM83" s="14"/>
      <c r="AN83" s="14"/>
      <c r="AO83" s="14"/>
      <c r="AP83" s="14"/>
      <c r="AQ83" s="14"/>
      <c r="AR83" s="14" t="s">
        <v>35</v>
      </c>
      <c r="AS83" s="34">
        <v>3.5</v>
      </c>
      <c r="AT83" s="34" t="s">
        <v>53</v>
      </c>
      <c r="AU83" s="14" t="s">
        <v>35</v>
      </c>
      <c r="AV83" s="14"/>
      <c r="AW83" s="14"/>
      <c r="AX83" s="29">
        <v>70</v>
      </c>
      <c r="AY83" s="29">
        <v>7500</v>
      </c>
      <c r="AZ83" s="29"/>
      <c r="BA83" s="29"/>
      <c r="BB83" s="14"/>
      <c r="BC83" s="14"/>
      <c r="BD83" s="14"/>
      <c r="BE83" s="14"/>
      <c r="BF83" s="35"/>
      <c r="BG83" s="36"/>
      <c r="BH83" s="36"/>
      <c r="BI83" s="37"/>
      <c r="BJ83" s="36"/>
      <c r="BK83" s="37"/>
      <c r="BL83" s="38"/>
      <c r="BM83" s="38">
        <f t="shared" si="5"/>
        <v>0</v>
      </c>
      <c r="BN83" s="37"/>
    </row>
    <row r="84" spans="1:66" s="17" customFormat="1" ht="30">
      <c r="A84" s="12" t="s">
        <v>245</v>
      </c>
      <c r="B84" s="2">
        <v>729</v>
      </c>
      <c r="C84" s="3" t="s">
        <v>33</v>
      </c>
      <c r="D84" s="3" t="s">
        <v>50</v>
      </c>
      <c r="E84" s="3"/>
      <c r="F84" s="11" t="s">
        <v>35</v>
      </c>
      <c r="G84" s="3" t="s">
        <v>67</v>
      </c>
      <c r="H84" s="14" t="s">
        <v>37</v>
      </c>
      <c r="I84" s="31" t="s">
        <v>465</v>
      </c>
      <c r="J84" s="31">
        <v>2392</v>
      </c>
      <c r="K84" s="14" t="s">
        <v>472</v>
      </c>
      <c r="L84" s="18"/>
      <c r="M84" s="18"/>
      <c r="N84" s="18">
        <v>24978</v>
      </c>
      <c r="O84" s="18">
        <v>17286</v>
      </c>
      <c r="P84" s="18"/>
      <c r="Q84" s="18"/>
      <c r="R84" s="18">
        <v>30386</v>
      </c>
      <c r="S84" s="32"/>
      <c r="T84" s="18">
        <f>R84/100*73</f>
        <v>22181.780000000002</v>
      </c>
      <c r="U84" s="14" t="s">
        <v>40</v>
      </c>
      <c r="V84" s="18">
        <v>17500</v>
      </c>
      <c r="W84" s="14" t="s">
        <v>42</v>
      </c>
      <c r="X84" s="18">
        <v>12886</v>
      </c>
      <c r="Y84" s="14" t="s">
        <v>42</v>
      </c>
      <c r="Z84" s="33" t="s">
        <v>37</v>
      </c>
      <c r="AA84" s="14" t="s">
        <v>35</v>
      </c>
      <c r="AB84" s="18" t="s">
        <v>37</v>
      </c>
      <c r="AC84" s="14" t="s">
        <v>35</v>
      </c>
      <c r="AD84" s="18">
        <v>1843</v>
      </c>
      <c r="AE84" s="18">
        <v>130</v>
      </c>
      <c r="AF84" s="18">
        <v>3889</v>
      </c>
      <c r="AG84" s="14" t="s">
        <v>42</v>
      </c>
      <c r="AH84" s="14">
        <v>690</v>
      </c>
      <c r="AI84" s="20">
        <v>30</v>
      </c>
      <c r="AJ84" s="14" t="s">
        <v>37</v>
      </c>
      <c r="AK84" s="14" t="s">
        <v>37</v>
      </c>
      <c r="AL84" s="14">
        <v>20</v>
      </c>
      <c r="AM84" s="14">
        <v>400</v>
      </c>
      <c r="AN84" s="14" t="s">
        <v>42</v>
      </c>
      <c r="AO84" s="14">
        <v>2</v>
      </c>
      <c r="AP84" s="14">
        <v>60</v>
      </c>
      <c r="AQ84" s="14" t="s">
        <v>42</v>
      </c>
      <c r="AR84" s="14" t="s">
        <v>35</v>
      </c>
      <c r="AS84" s="34">
        <v>4</v>
      </c>
      <c r="AT84" s="34">
        <v>2</v>
      </c>
      <c r="AU84" s="14" t="s">
        <v>35</v>
      </c>
      <c r="AV84" s="14" t="s">
        <v>38</v>
      </c>
      <c r="AW84" s="14" t="s">
        <v>35</v>
      </c>
      <c r="AX84" s="29"/>
      <c r="AY84" s="29"/>
      <c r="AZ84" s="29">
        <v>60</v>
      </c>
      <c r="BA84" s="29">
        <v>2902</v>
      </c>
      <c r="BB84" s="14" t="s">
        <v>40</v>
      </c>
      <c r="BC84" s="14">
        <v>9</v>
      </c>
      <c r="BD84" s="14">
        <v>4</v>
      </c>
      <c r="BE84" s="14" t="s">
        <v>40</v>
      </c>
      <c r="BF84" s="35" t="s">
        <v>37</v>
      </c>
      <c r="BG84" s="36">
        <f>T84/100*(44)*12.86</f>
        <v>125513.38395200002</v>
      </c>
      <c r="BH84" s="36">
        <f>T84/100*(56)*25.73</f>
        <v>319612.83166400006</v>
      </c>
      <c r="BI84" s="37">
        <f t="shared" si="6"/>
        <v>445126.21561600006</v>
      </c>
      <c r="BJ84" s="36">
        <v>169910</v>
      </c>
      <c r="BK84" s="37">
        <f>BJ84+BI84</f>
        <v>615036.2156160001</v>
      </c>
      <c r="BL84" s="38">
        <v>1.9979999999999998</v>
      </c>
      <c r="BM84" s="38">
        <f t="shared" si="5"/>
        <v>5.997999999999999</v>
      </c>
      <c r="BN84" s="37">
        <v>20728.571428571428</v>
      </c>
    </row>
    <row r="85" spans="1:66" s="17" customFormat="1" ht="78" customHeight="1">
      <c r="A85" s="3" t="s">
        <v>246</v>
      </c>
      <c r="B85" s="2">
        <v>780</v>
      </c>
      <c r="C85" s="3" t="s">
        <v>33</v>
      </c>
      <c r="D85" s="3" t="s">
        <v>57</v>
      </c>
      <c r="E85" s="3"/>
      <c r="F85" s="11"/>
      <c r="G85" s="3" t="s">
        <v>36</v>
      </c>
      <c r="H85" s="14"/>
      <c r="I85" s="39"/>
      <c r="J85" s="39"/>
      <c r="K85" s="14"/>
      <c r="L85" s="18"/>
      <c r="M85" s="18"/>
      <c r="N85" s="18"/>
      <c r="O85" s="18"/>
      <c r="P85" s="18"/>
      <c r="Q85" s="18"/>
      <c r="R85" s="18"/>
      <c r="S85" s="32"/>
      <c r="T85" s="18"/>
      <c r="U85" s="14"/>
      <c r="V85" s="18"/>
      <c r="W85" s="14"/>
      <c r="X85" s="18"/>
      <c r="Y85" s="14"/>
      <c r="Z85" s="33"/>
      <c r="AA85" s="14" t="s">
        <v>35</v>
      </c>
      <c r="AB85" s="18"/>
      <c r="AC85" s="14"/>
      <c r="AD85" s="18"/>
      <c r="AE85" s="18"/>
      <c r="AF85" s="18"/>
      <c r="AG85" s="14"/>
      <c r="AH85" s="14"/>
      <c r="AI85" s="20"/>
      <c r="AJ85" s="14"/>
      <c r="AK85" s="14"/>
      <c r="AL85" s="14"/>
      <c r="AM85" s="14"/>
      <c r="AN85" s="14"/>
      <c r="AO85" s="14"/>
      <c r="AP85" s="14"/>
      <c r="AQ85" s="14"/>
      <c r="AR85" s="14" t="s">
        <v>35</v>
      </c>
      <c r="AS85" s="34">
        <v>3.5</v>
      </c>
      <c r="AT85" s="34">
        <v>1.5</v>
      </c>
      <c r="AU85" s="14" t="s">
        <v>35</v>
      </c>
      <c r="AV85" s="14"/>
      <c r="AW85" s="14"/>
      <c r="AX85" s="29"/>
      <c r="AY85" s="29"/>
      <c r="AZ85" s="29"/>
      <c r="BA85" s="29"/>
      <c r="BB85" s="14"/>
      <c r="BC85" s="14"/>
      <c r="BD85" s="14"/>
      <c r="BE85" s="14"/>
      <c r="BF85" s="35"/>
      <c r="BG85" s="36"/>
      <c r="BH85" s="36"/>
      <c r="BI85" s="37"/>
      <c r="BJ85" s="36"/>
      <c r="BK85" s="37"/>
      <c r="BL85" s="38"/>
      <c r="BM85" s="38">
        <f t="shared" si="5"/>
        <v>0</v>
      </c>
      <c r="BN85" s="37"/>
    </row>
    <row r="86" spans="1:66" s="17" customFormat="1" ht="45">
      <c r="A86" s="12" t="s">
        <v>247</v>
      </c>
      <c r="B86" s="2">
        <v>2025</v>
      </c>
      <c r="C86" s="3" t="s">
        <v>33</v>
      </c>
      <c r="D86" s="10" t="s">
        <v>34</v>
      </c>
      <c r="E86" s="10"/>
      <c r="F86" s="11" t="s">
        <v>35</v>
      </c>
      <c r="G86" s="3" t="s">
        <v>67</v>
      </c>
      <c r="H86" s="14" t="s">
        <v>67</v>
      </c>
      <c r="I86" s="31" t="s">
        <v>466</v>
      </c>
      <c r="J86" s="31">
        <v>485</v>
      </c>
      <c r="K86" s="14" t="s">
        <v>471</v>
      </c>
      <c r="L86" s="18"/>
      <c r="M86" s="18"/>
      <c r="N86" s="18"/>
      <c r="O86" s="18"/>
      <c r="P86" s="18">
        <v>600</v>
      </c>
      <c r="Q86" s="18">
        <v>376</v>
      </c>
      <c r="R86" s="18">
        <v>920</v>
      </c>
      <c r="S86" s="32">
        <f>(R86-Q86)/R86</f>
        <v>0.591304347826087</v>
      </c>
      <c r="T86" s="18">
        <f>R86/100*77</f>
        <v>708.4</v>
      </c>
      <c r="U86" s="14" t="s">
        <v>40</v>
      </c>
      <c r="V86" s="18">
        <v>785</v>
      </c>
      <c r="W86" s="14" t="s">
        <v>40</v>
      </c>
      <c r="X86" s="18">
        <v>156</v>
      </c>
      <c r="Y86" s="14" t="s">
        <v>42</v>
      </c>
      <c r="Z86" s="33" t="s">
        <v>248</v>
      </c>
      <c r="AA86" s="14" t="s">
        <v>38</v>
      </c>
      <c r="AB86" s="18" t="s">
        <v>121</v>
      </c>
      <c r="AC86" s="14" t="s">
        <v>38</v>
      </c>
      <c r="AD86" s="18" t="s">
        <v>58</v>
      </c>
      <c r="AE86" s="18" t="s">
        <v>162</v>
      </c>
      <c r="AF86" s="18">
        <v>0</v>
      </c>
      <c r="AG86" s="14" t="s">
        <v>37</v>
      </c>
      <c r="AH86" s="14">
        <v>0</v>
      </c>
      <c r="AI86" s="20">
        <v>0</v>
      </c>
      <c r="AJ86" s="14">
        <v>0</v>
      </c>
      <c r="AK86" s="14" t="s">
        <v>37</v>
      </c>
      <c r="AL86" s="14" t="s">
        <v>249</v>
      </c>
      <c r="AM86" s="14">
        <v>124</v>
      </c>
      <c r="AN86" s="14" t="s">
        <v>42</v>
      </c>
      <c r="AO86" s="14">
        <v>0</v>
      </c>
      <c r="AP86" s="14" t="s">
        <v>58</v>
      </c>
      <c r="AQ86" s="14" t="s">
        <v>37</v>
      </c>
      <c r="AR86" s="14" t="s">
        <v>38</v>
      </c>
      <c r="AS86" s="34"/>
      <c r="AT86" s="34"/>
      <c r="AU86" s="14" t="s">
        <v>35</v>
      </c>
      <c r="AV86" s="14" t="s">
        <v>38</v>
      </c>
      <c r="AW86" s="14" t="s">
        <v>38</v>
      </c>
      <c r="AX86" s="29">
        <v>9</v>
      </c>
      <c r="AY86" s="29">
        <v>2700</v>
      </c>
      <c r="AZ86" s="29">
        <v>10</v>
      </c>
      <c r="BA86" s="29">
        <v>435</v>
      </c>
      <c r="BB86" s="14" t="s">
        <v>40</v>
      </c>
      <c r="BC86" s="14">
        <v>0</v>
      </c>
      <c r="BD86" s="14">
        <v>0</v>
      </c>
      <c r="BE86" s="14" t="s">
        <v>40</v>
      </c>
      <c r="BF86" s="35" t="s">
        <v>37</v>
      </c>
      <c r="BG86" s="36">
        <f>T86/100*(47)*14.08</f>
        <v>4687.90784</v>
      </c>
      <c r="BH86" s="36">
        <f>T86/100*(53)*28.16</f>
        <v>10572.72832</v>
      </c>
      <c r="BI86" s="37">
        <f t="shared" si="6"/>
        <v>15260.63616</v>
      </c>
      <c r="BJ86" s="36">
        <v>380</v>
      </c>
      <c r="BK86" s="37">
        <f>BJ86+BI86</f>
        <v>15640.63616</v>
      </c>
      <c r="BL86" s="38">
        <v>0</v>
      </c>
      <c r="BM86" s="38">
        <f t="shared" si="5"/>
        <v>0</v>
      </c>
      <c r="BN86" s="37">
        <v>3107.1428571428573</v>
      </c>
    </row>
    <row r="87" spans="1:66" s="17" customFormat="1" ht="30">
      <c r="A87" s="12" t="s">
        <v>250</v>
      </c>
      <c r="B87" s="2">
        <v>716</v>
      </c>
      <c r="C87" s="3" t="s">
        <v>33</v>
      </c>
      <c r="D87" s="16" t="s">
        <v>44</v>
      </c>
      <c r="E87" s="16" t="s">
        <v>35</v>
      </c>
      <c r="F87" s="11" t="s">
        <v>35</v>
      </c>
      <c r="G87" s="3" t="s">
        <v>36</v>
      </c>
      <c r="H87" s="14" t="s">
        <v>36</v>
      </c>
      <c r="I87" s="31" t="s">
        <v>465</v>
      </c>
      <c r="J87" s="31">
        <v>1989</v>
      </c>
      <c r="K87" s="14" t="s">
        <v>471</v>
      </c>
      <c r="L87" s="18"/>
      <c r="M87" s="18"/>
      <c r="N87" s="18"/>
      <c r="O87" s="18"/>
      <c r="P87" s="18">
        <v>14197</v>
      </c>
      <c r="Q87" s="18">
        <v>12313</v>
      </c>
      <c r="R87" s="18">
        <v>8500</v>
      </c>
      <c r="S87" s="32">
        <f>(R87-Q87)/R87</f>
        <v>-0.4485882352941176</v>
      </c>
      <c r="T87" s="18">
        <f>R87/100*77</f>
        <v>6545</v>
      </c>
      <c r="U87" s="14" t="s">
        <v>42</v>
      </c>
      <c r="V87" s="18">
        <v>7300</v>
      </c>
      <c r="W87" s="14" t="s">
        <v>42</v>
      </c>
      <c r="X87" s="18">
        <v>1200</v>
      </c>
      <c r="Y87" s="14" t="s">
        <v>42</v>
      </c>
      <c r="Z87" s="33" t="s">
        <v>251</v>
      </c>
      <c r="AA87" s="14" t="s">
        <v>35</v>
      </c>
      <c r="AB87" s="18" t="s">
        <v>37</v>
      </c>
      <c r="AC87" s="14" t="s">
        <v>35</v>
      </c>
      <c r="AD87" s="18" t="s">
        <v>252</v>
      </c>
      <c r="AE87" s="18">
        <v>23</v>
      </c>
      <c r="AF87" s="18">
        <v>575</v>
      </c>
      <c r="AG87" s="14" t="s">
        <v>42</v>
      </c>
      <c r="AH87" s="14">
        <v>25</v>
      </c>
      <c r="AI87" s="20">
        <v>500</v>
      </c>
      <c r="AJ87" s="14">
        <v>40</v>
      </c>
      <c r="AK87" s="14" t="s">
        <v>42</v>
      </c>
      <c r="AL87" s="14" t="s">
        <v>37</v>
      </c>
      <c r="AM87" s="14" t="s">
        <v>37</v>
      </c>
      <c r="AN87" s="14" t="s">
        <v>37</v>
      </c>
      <c r="AO87" s="14" t="s">
        <v>37</v>
      </c>
      <c r="AP87" s="14" t="s">
        <v>37</v>
      </c>
      <c r="AQ87" s="14" t="s">
        <v>37</v>
      </c>
      <c r="AR87" s="14" t="s">
        <v>35</v>
      </c>
      <c r="AS87" s="34">
        <v>4</v>
      </c>
      <c r="AT87" s="34" t="s">
        <v>53</v>
      </c>
      <c r="AU87" s="14" t="s">
        <v>35</v>
      </c>
      <c r="AV87" s="14" t="s">
        <v>35</v>
      </c>
      <c r="AW87" s="14" t="s">
        <v>38</v>
      </c>
      <c r="AX87" s="29">
        <v>92</v>
      </c>
      <c r="AY87" s="29">
        <v>2496</v>
      </c>
      <c r="AZ87" s="29">
        <v>34</v>
      </c>
      <c r="BA87" s="29">
        <v>2550</v>
      </c>
      <c r="BB87" s="14" t="s">
        <v>42</v>
      </c>
      <c r="BC87" s="14">
        <v>8</v>
      </c>
      <c r="BD87" s="14">
        <v>4.25</v>
      </c>
      <c r="BE87" s="14" t="s">
        <v>40</v>
      </c>
      <c r="BF87" s="35" t="s">
        <v>37</v>
      </c>
      <c r="BG87" s="36">
        <f>T87/100*(47)*17.99</f>
        <v>55339.9385</v>
      </c>
      <c r="BH87" s="36">
        <f>T87/100*(53)*35.98</f>
        <v>124809.223</v>
      </c>
      <c r="BI87" s="37">
        <f t="shared" si="6"/>
        <v>180149.1615</v>
      </c>
      <c r="BJ87" s="36">
        <v>76300</v>
      </c>
      <c r="BK87" s="37">
        <f>BJ87+BI87</f>
        <v>256449.1615</v>
      </c>
      <c r="BL87" s="38">
        <v>2.2663125</v>
      </c>
      <c r="BM87" s="38">
        <f t="shared" si="5"/>
        <v>6.5163125</v>
      </c>
      <c r="BN87" s="37">
        <v>18214.285714285714</v>
      </c>
    </row>
    <row r="88" spans="1:66" s="17" customFormat="1" ht="45">
      <c r="A88" s="13" t="s">
        <v>253</v>
      </c>
      <c r="B88" s="2">
        <v>727</v>
      </c>
      <c r="C88" s="3" t="s">
        <v>33</v>
      </c>
      <c r="D88" s="16" t="s">
        <v>44</v>
      </c>
      <c r="E88" s="16"/>
      <c r="F88" s="11" t="s">
        <v>35</v>
      </c>
      <c r="G88" s="3" t="s">
        <v>139</v>
      </c>
      <c r="H88" s="14" t="s">
        <v>139</v>
      </c>
      <c r="I88" s="31" t="s">
        <v>465</v>
      </c>
      <c r="J88" s="31">
        <v>1700</v>
      </c>
      <c r="K88" s="14" t="s">
        <v>472</v>
      </c>
      <c r="L88" s="18">
        <v>4209</v>
      </c>
      <c r="M88" s="18">
        <v>1096</v>
      </c>
      <c r="N88" s="18">
        <v>8811</v>
      </c>
      <c r="O88" s="18">
        <v>11181</v>
      </c>
      <c r="P88" s="18">
        <v>10611</v>
      </c>
      <c r="Q88" s="18">
        <v>15318</v>
      </c>
      <c r="R88" s="18">
        <v>15148</v>
      </c>
      <c r="S88" s="32">
        <f>(R88-Q88)/R88</f>
        <v>-0.011222603644045419</v>
      </c>
      <c r="T88" s="18">
        <f>R88/100*73</f>
        <v>11058.039999999999</v>
      </c>
      <c r="U88" s="14" t="s">
        <v>40</v>
      </c>
      <c r="V88" s="18">
        <v>9962</v>
      </c>
      <c r="W88" s="14" t="s">
        <v>40</v>
      </c>
      <c r="X88" s="18">
        <v>5186</v>
      </c>
      <c r="Y88" s="14" t="s">
        <v>40</v>
      </c>
      <c r="Z88" s="33" t="s">
        <v>37</v>
      </c>
      <c r="AA88" s="14" t="s">
        <v>35</v>
      </c>
      <c r="AB88" s="18">
        <v>39132</v>
      </c>
      <c r="AC88" s="14" t="s">
        <v>35</v>
      </c>
      <c r="AD88" s="18">
        <v>3228</v>
      </c>
      <c r="AE88" s="18">
        <v>173</v>
      </c>
      <c r="AF88" s="18">
        <v>4056</v>
      </c>
      <c r="AG88" s="14" t="s">
        <v>40</v>
      </c>
      <c r="AH88" s="14">
        <v>61</v>
      </c>
      <c r="AI88" s="20">
        <v>1092</v>
      </c>
      <c r="AJ88" s="14">
        <v>110</v>
      </c>
      <c r="AK88" s="14" t="s">
        <v>40</v>
      </c>
      <c r="AL88" s="14">
        <v>74</v>
      </c>
      <c r="AM88" s="14">
        <v>2779</v>
      </c>
      <c r="AN88" s="14" t="s">
        <v>40</v>
      </c>
      <c r="AO88" s="14">
        <v>3</v>
      </c>
      <c r="AP88" s="14">
        <v>228</v>
      </c>
      <c r="AQ88" s="14" t="s">
        <v>40</v>
      </c>
      <c r="AR88" s="14" t="s">
        <v>38</v>
      </c>
      <c r="AS88" s="34"/>
      <c r="AT88" s="34"/>
      <c r="AU88" s="14" t="s">
        <v>38</v>
      </c>
      <c r="AV88" s="14" t="s">
        <v>38</v>
      </c>
      <c r="AW88" s="14" t="s">
        <v>38</v>
      </c>
      <c r="AX88" s="29">
        <v>38</v>
      </c>
      <c r="AY88" s="29">
        <v>170</v>
      </c>
      <c r="AZ88" s="29">
        <v>42</v>
      </c>
      <c r="BA88" s="29">
        <v>442</v>
      </c>
      <c r="BB88" s="14" t="s">
        <v>40</v>
      </c>
      <c r="BC88" s="14">
        <v>3</v>
      </c>
      <c r="BD88" s="14">
        <v>2</v>
      </c>
      <c r="BE88" s="14" t="s">
        <v>40</v>
      </c>
      <c r="BF88" s="35" t="s">
        <v>254</v>
      </c>
      <c r="BG88" s="36">
        <f>T88/100*(44)*17.99</f>
        <v>87531.02142399999</v>
      </c>
      <c r="BH88" s="36">
        <f>T88/100*(56)*35.98</f>
        <v>222806.23635199995</v>
      </c>
      <c r="BI88" s="37">
        <f t="shared" si="6"/>
        <v>310337.25777599995</v>
      </c>
      <c r="BJ88" s="36"/>
      <c r="BK88" s="37">
        <f>BJ88+BI88</f>
        <v>310337.25777599995</v>
      </c>
      <c r="BL88" s="38">
        <v>0.9989999999999999</v>
      </c>
      <c r="BM88" s="38">
        <f t="shared" si="5"/>
        <v>2.9989999999999997</v>
      </c>
      <c r="BN88" s="37">
        <v>3157.1428571428573</v>
      </c>
    </row>
    <row r="89" spans="1:66" s="17" customFormat="1" ht="30">
      <c r="A89" s="12" t="s">
        <v>255</v>
      </c>
      <c r="B89" s="2">
        <v>775</v>
      </c>
      <c r="C89" s="3" t="s">
        <v>33</v>
      </c>
      <c r="D89" s="10" t="s">
        <v>50</v>
      </c>
      <c r="E89" s="10"/>
      <c r="F89" s="11" t="s">
        <v>35</v>
      </c>
      <c r="G89" s="3" t="s">
        <v>36</v>
      </c>
      <c r="H89" s="14" t="s">
        <v>37</v>
      </c>
      <c r="I89" s="31" t="s">
        <v>465</v>
      </c>
      <c r="J89" s="31">
        <v>1796</v>
      </c>
      <c r="K89" s="14" t="s">
        <v>472</v>
      </c>
      <c r="L89" s="18">
        <v>25000</v>
      </c>
      <c r="M89" s="18">
        <v>30312</v>
      </c>
      <c r="N89" s="18">
        <v>36000</v>
      </c>
      <c r="O89" s="18"/>
      <c r="P89" s="18"/>
      <c r="Q89" s="18"/>
      <c r="R89" s="18">
        <v>37262</v>
      </c>
      <c r="S89" s="32"/>
      <c r="T89" s="18">
        <f>R89/100*73</f>
        <v>27201.260000000002</v>
      </c>
      <c r="U89" s="14" t="s">
        <v>40</v>
      </c>
      <c r="V89" s="18">
        <v>30189</v>
      </c>
      <c r="W89" s="14" t="s">
        <v>40</v>
      </c>
      <c r="X89" s="18">
        <v>7073</v>
      </c>
      <c r="Y89" s="14" t="s">
        <v>40</v>
      </c>
      <c r="Z89" s="33" t="s">
        <v>41</v>
      </c>
      <c r="AA89" s="14" t="s">
        <v>35</v>
      </c>
      <c r="AB89" s="18">
        <v>30000</v>
      </c>
      <c r="AC89" s="14" t="s">
        <v>35</v>
      </c>
      <c r="AD89" s="18">
        <v>6000</v>
      </c>
      <c r="AE89" s="18">
        <v>37</v>
      </c>
      <c r="AF89" s="18">
        <v>976</v>
      </c>
      <c r="AG89" s="14" t="s">
        <v>40</v>
      </c>
      <c r="AH89" s="14">
        <v>1</v>
      </c>
      <c r="AI89" s="20">
        <v>60</v>
      </c>
      <c r="AJ89" s="14">
        <v>28</v>
      </c>
      <c r="AK89" s="14" t="s">
        <v>40</v>
      </c>
      <c r="AL89" s="14">
        <v>7</v>
      </c>
      <c r="AM89" s="14">
        <v>91</v>
      </c>
      <c r="AN89" s="14" t="s">
        <v>37</v>
      </c>
      <c r="AO89" s="14" t="s">
        <v>41</v>
      </c>
      <c r="AP89" s="14" t="s">
        <v>41</v>
      </c>
      <c r="AQ89" s="14" t="s">
        <v>37</v>
      </c>
      <c r="AR89" s="14" t="s">
        <v>35</v>
      </c>
      <c r="AS89" s="34">
        <v>8.25</v>
      </c>
      <c r="AT89" s="34">
        <v>4.7</v>
      </c>
      <c r="AU89" s="14" t="s">
        <v>35</v>
      </c>
      <c r="AV89" s="14" t="s">
        <v>38</v>
      </c>
      <c r="AW89" s="14" t="s">
        <v>35</v>
      </c>
      <c r="AX89" s="29"/>
      <c r="AY89" s="29"/>
      <c r="AZ89" s="29">
        <v>185</v>
      </c>
      <c r="BA89" s="29">
        <v>32000</v>
      </c>
      <c r="BB89" s="14" t="s">
        <v>40</v>
      </c>
      <c r="BC89" s="14">
        <v>21</v>
      </c>
      <c r="BD89" s="14">
        <v>12</v>
      </c>
      <c r="BE89" s="14" t="s">
        <v>40</v>
      </c>
      <c r="BF89" s="35" t="s">
        <v>41</v>
      </c>
      <c r="BG89" s="36">
        <f>T89/100*(44)*12.86</f>
        <v>153915.609584</v>
      </c>
      <c r="BH89" s="36">
        <f>T89/100*(56)*25.73</f>
        <v>391937.51508800004</v>
      </c>
      <c r="BI89" s="37">
        <f t="shared" si="6"/>
        <v>545853.1246720001</v>
      </c>
      <c r="BJ89" s="36">
        <v>248000</v>
      </c>
      <c r="BK89" s="37">
        <f>BJ89+BI89</f>
        <v>793853.1246720001</v>
      </c>
      <c r="BL89" s="38">
        <v>5.994</v>
      </c>
      <c r="BM89" s="38">
        <f t="shared" si="5"/>
        <v>17.994</v>
      </c>
      <c r="BN89" s="37">
        <v>228571.42857142858</v>
      </c>
    </row>
    <row r="90" spans="1:66" s="17" customFormat="1" ht="30">
      <c r="A90" s="12" t="s">
        <v>451</v>
      </c>
      <c r="B90" s="2">
        <v>733</v>
      </c>
      <c r="C90" s="3" t="s">
        <v>33</v>
      </c>
      <c r="D90" s="10" t="s">
        <v>34</v>
      </c>
      <c r="E90" s="10" t="s">
        <v>109</v>
      </c>
      <c r="F90" s="11" t="s">
        <v>35</v>
      </c>
      <c r="G90" s="3" t="s">
        <v>67</v>
      </c>
      <c r="H90" s="8" t="s">
        <v>67</v>
      </c>
      <c r="I90" s="40" t="s">
        <v>465</v>
      </c>
      <c r="J90" s="40" t="s">
        <v>426</v>
      </c>
      <c r="K90" s="8" t="s">
        <v>472</v>
      </c>
      <c r="L90" s="18"/>
      <c r="M90" s="18"/>
      <c r="N90" s="18"/>
      <c r="O90" s="18"/>
      <c r="P90" s="18">
        <v>16473</v>
      </c>
      <c r="Q90" s="18">
        <v>14707</v>
      </c>
      <c r="R90" s="18">
        <v>15059</v>
      </c>
      <c r="S90" s="32">
        <f>(R90-Q90)/R90</f>
        <v>0.02337472607742878</v>
      </c>
      <c r="T90" s="18">
        <f>R90/100*73</f>
        <v>10993.07</v>
      </c>
      <c r="U90" s="8" t="s">
        <v>40</v>
      </c>
      <c r="V90" s="18">
        <v>12105</v>
      </c>
      <c r="W90" s="8" t="s">
        <v>40</v>
      </c>
      <c r="X90" s="18">
        <v>2954</v>
      </c>
      <c r="Y90" s="8" t="s">
        <v>40</v>
      </c>
      <c r="Z90" s="41" t="s">
        <v>38</v>
      </c>
      <c r="AA90" s="8" t="s">
        <v>35</v>
      </c>
      <c r="AB90" s="18" t="s">
        <v>37</v>
      </c>
      <c r="AC90" s="8" t="s">
        <v>35</v>
      </c>
      <c r="AD90" s="18">
        <v>7155</v>
      </c>
      <c r="AE90" s="18">
        <v>16</v>
      </c>
      <c r="AF90" s="18">
        <v>1189</v>
      </c>
      <c r="AG90" s="45" t="s">
        <v>40</v>
      </c>
      <c r="AH90" s="8">
        <v>0</v>
      </c>
      <c r="AI90" s="42">
        <v>0</v>
      </c>
      <c r="AJ90" s="8">
        <v>16</v>
      </c>
      <c r="AK90" s="8" t="s">
        <v>40</v>
      </c>
      <c r="AL90" s="8">
        <v>3</v>
      </c>
      <c r="AM90" s="8">
        <v>42</v>
      </c>
      <c r="AN90" s="8" t="s">
        <v>40</v>
      </c>
      <c r="AO90" s="8">
        <v>0</v>
      </c>
      <c r="AP90" s="8">
        <v>0</v>
      </c>
      <c r="AQ90" s="8" t="s">
        <v>40</v>
      </c>
      <c r="AR90" s="8" t="s">
        <v>35</v>
      </c>
      <c r="AS90" s="34">
        <v>5.5</v>
      </c>
      <c r="AT90" s="34">
        <v>4.4</v>
      </c>
      <c r="AU90" s="8" t="s">
        <v>35</v>
      </c>
      <c r="AV90" s="8" t="s">
        <v>35</v>
      </c>
      <c r="AW90" s="8" t="s">
        <v>38</v>
      </c>
      <c r="AX90" s="29"/>
      <c r="AY90" s="29"/>
      <c r="AZ90" s="29" t="s">
        <v>424</v>
      </c>
      <c r="BA90" s="29" t="s">
        <v>424</v>
      </c>
      <c r="BB90" s="45" t="s">
        <v>37</v>
      </c>
      <c r="BC90" s="45" t="s">
        <v>424</v>
      </c>
      <c r="BD90" s="45" t="s">
        <v>424</v>
      </c>
      <c r="BE90" s="45" t="s">
        <v>37</v>
      </c>
      <c r="BF90" s="46" t="s">
        <v>37</v>
      </c>
      <c r="BG90" s="36">
        <f>T90/100*(44)*14.08</f>
        <v>68104.26726400001</v>
      </c>
      <c r="BH90" s="36">
        <f>T90/100*(56)*28.16</f>
        <v>173356.31667200002</v>
      </c>
      <c r="BI90" s="37">
        <f t="shared" si="6"/>
        <v>241460.583936</v>
      </c>
      <c r="BJ90" s="36"/>
      <c r="BK90" s="37">
        <f>BJ90+BI90</f>
        <v>241460.583936</v>
      </c>
      <c r="BL90" s="44"/>
      <c r="BM90" s="38"/>
      <c r="BN90" s="37"/>
    </row>
    <row r="91" spans="1:66" s="17" customFormat="1" ht="46.5" customHeight="1">
      <c r="A91" s="13" t="s">
        <v>256</v>
      </c>
      <c r="B91" s="2">
        <v>2122</v>
      </c>
      <c r="C91" s="3" t="s">
        <v>33</v>
      </c>
      <c r="D91" s="3" t="s">
        <v>61</v>
      </c>
      <c r="E91" s="3"/>
      <c r="F91" s="11"/>
      <c r="G91" s="3" t="s">
        <v>36</v>
      </c>
      <c r="H91" s="14"/>
      <c r="I91" s="39"/>
      <c r="J91" s="39"/>
      <c r="K91" s="14"/>
      <c r="L91" s="18"/>
      <c r="M91" s="18"/>
      <c r="N91" s="18"/>
      <c r="O91" s="18"/>
      <c r="P91" s="18"/>
      <c r="Q91" s="18"/>
      <c r="R91" s="18"/>
      <c r="S91" s="32"/>
      <c r="T91" s="18"/>
      <c r="U91" s="14"/>
      <c r="V91" s="18"/>
      <c r="W91" s="14"/>
      <c r="X91" s="18"/>
      <c r="Y91" s="14"/>
      <c r="Z91" s="33"/>
      <c r="AA91" s="14" t="s">
        <v>35</v>
      </c>
      <c r="AB91" s="18"/>
      <c r="AC91" s="14"/>
      <c r="AD91" s="18"/>
      <c r="AE91" s="18"/>
      <c r="AF91" s="18"/>
      <c r="AG91" s="14"/>
      <c r="AH91" s="14"/>
      <c r="AI91" s="20"/>
      <c r="AJ91" s="14"/>
      <c r="AK91" s="14"/>
      <c r="AL91" s="14"/>
      <c r="AM91" s="14"/>
      <c r="AN91" s="14"/>
      <c r="AO91" s="14"/>
      <c r="AP91" s="14"/>
      <c r="AQ91" s="14"/>
      <c r="AR91" s="14" t="s">
        <v>35</v>
      </c>
      <c r="AS91" s="34">
        <v>4.5</v>
      </c>
      <c r="AT91" s="34">
        <v>2</v>
      </c>
      <c r="AU91" s="14" t="s">
        <v>35</v>
      </c>
      <c r="AV91" s="14"/>
      <c r="AW91" s="14"/>
      <c r="AX91" s="29"/>
      <c r="AY91" s="29"/>
      <c r="AZ91" s="29"/>
      <c r="BA91" s="29"/>
      <c r="BB91" s="14"/>
      <c r="BC91" s="14"/>
      <c r="BD91" s="14"/>
      <c r="BE91" s="14"/>
      <c r="BF91" s="35"/>
      <c r="BG91" s="36"/>
      <c r="BH91" s="36"/>
      <c r="BI91" s="37"/>
      <c r="BJ91" s="36"/>
      <c r="BK91" s="37"/>
      <c r="BL91" s="38"/>
      <c r="BM91" s="38">
        <f t="shared" si="5"/>
        <v>0</v>
      </c>
      <c r="BN91" s="37"/>
    </row>
    <row r="92" spans="1:66" s="17" customFormat="1" ht="93" customHeight="1">
      <c r="A92" s="3" t="s">
        <v>257</v>
      </c>
      <c r="B92" s="2">
        <v>725</v>
      </c>
      <c r="C92" s="3" t="s">
        <v>60</v>
      </c>
      <c r="D92" s="3" t="s">
        <v>57</v>
      </c>
      <c r="E92" s="3" t="s">
        <v>258</v>
      </c>
      <c r="F92" s="11"/>
      <c r="G92" s="3" t="s">
        <v>67</v>
      </c>
      <c r="H92" s="14"/>
      <c r="I92" s="39"/>
      <c r="J92" s="39"/>
      <c r="K92" s="14"/>
      <c r="L92" s="18"/>
      <c r="M92" s="18"/>
      <c r="N92" s="18">
        <v>19589</v>
      </c>
      <c r="O92" s="18">
        <v>16239</v>
      </c>
      <c r="P92" s="18">
        <v>14457</v>
      </c>
      <c r="Q92" s="18">
        <v>17244</v>
      </c>
      <c r="R92" s="18"/>
      <c r="S92" s="32"/>
      <c r="T92" s="18"/>
      <c r="U92" s="14"/>
      <c r="V92" s="18"/>
      <c r="W92" s="14"/>
      <c r="X92" s="18"/>
      <c r="Y92" s="14"/>
      <c r="Z92" s="33"/>
      <c r="AA92" s="14" t="s">
        <v>35</v>
      </c>
      <c r="AB92" s="18"/>
      <c r="AC92" s="14"/>
      <c r="AD92" s="18"/>
      <c r="AE92" s="18"/>
      <c r="AF92" s="18"/>
      <c r="AG92" s="14"/>
      <c r="AH92" s="14"/>
      <c r="AI92" s="20"/>
      <c r="AJ92" s="14"/>
      <c r="AK92" s="14"/>
      <c r="AL92" s="14"/>
      <c r="AM92" s="14"/>
      <c r="AN92" s="14"/>
      <c r="AO92" s="14"/>
      <c r="AP92" s="14"/>
      <c r="AQ92" s="14"/>
      <c r="AR92" s="14" t="s">
        <v>38</v>
      </c>
      <c r="AS92" s="34"/>
      <c r="AT92" s="34"/>
      <c r="AU92" s="14" t="s">
        <v>46</v>
      </c>
      <c r="AV92" s="14"/>
      <c r="AW92" s="14"/>
      <c r="AX92" s="29"/>
      <c r="AY92" s="29"/>
      <c r="AZ92" s="29"/>
      <c r="BA92" s="29"/>
      <c r="BB92" s="14"/>
      <c r="BC92" s="14"/>
      <c r="BD92" s="14"/>
      <c r="BE92" s="14"/>
      <c r="BF92" s="35"/>
      <c r="BG92" s="36"/>
      <c r="BH92" s="36"/>
      <c r="BI92" s="37"/>
      <c r="BJ92" s="36"/>
      <c r="BK92" s="37"/>
      <c r="BL92" s="38"/>
      <c r="BM92" s="38">
        <f t="shared" si="5"/>
        <v>0</v>
      </c>
      <c r="BN92" s="37"/>
    </row>
    <row r="93" spans="1:66" s="17" customFormat="1" ht="45">
      <c r="A93" s="12" t="s">
        <v>259</v>
      </c>
      <c r="B93" s="2">
        <v>1943</v>
      </c>
      <c r="C93" s="3" t="s">
        <v>33</v>
      </c>
      <c r="D93" s="10" t="s">
        <v>34</v>
      </c>
      <c r="E93" s="10"/>
      <c r="F93" s="11" t="s">
        <v>35</v>
      </c>
      <c r="G93" s="3" t="s">
        <v>36</v>
      </c>
      <c r="H93" s="14" t="s">
        <v>36</v>
      </c>
      <c r="I93" s="31" t="s">
        <v>466</v>
      </c>
      <c r="J93" s="31">
        <v>1300</v>
      </c>
      <c r="K93" s="14" t="s">
        <v>471</v>
      </c>
      <c r="L93" s="18">
        <v>7289</v>
      </c>
      <c r="M93" s="18">
        <v>9267</v>
      </c>
      <c r="N93" s="18">
        <v>7983</v>
      </c>
      <c r="O93" s="18">
        <v>8006</v>
      </c>
      <c r="P93" s="18">
        <v>7568</v>
      </c>
      <c r="Q93" s="18">
        <v>7577</v>
      </c>
      <c r="R93" s="18">
        <v>8767</v>
      </c>
      <c r="S93" s="32">
        <f>(R93-Q93)/R93</f>
        <v>0.13573628379149083</v>
      </c>
      <c r="T93" s="18">
        <f>R93/100*77</f>
        <v>6750.59</v>
      </c>
      <c r="U93" s="14" t="s">
        <v>40</v>
      </c>
      <c r="V93" s="18">
        <v>7741</v>
      </c>
      <c r="W93" s="14" t="s">
        <v>40</v>
      </c>
      <c r="X93" s="18">
        <v>2510</v>
      </c>
      <c r="Y93" s="14" t="s">
        <v>40</v>
      </c>
      <c r="Z93" s="33" t="s">
        <v>260</v>
      </c>
      <c r="AA93" s="14" t="s">
        <v>35</v>
      </c>
      <c r="AB93" s="18">
        <v>10000</v>
      </c>
      <c r="AC93" s="14" t="s">
        <v>35</v>
      </c>
      <c r="AD93" s="18">
        <v>3800</v>
      </c>
      <c r="AE93" s="18">
        <v>4</v>
      </c>
      <c r="AF93" s="18">
        <v>98</v>
      </c>
      <c r="AG93" s="14" t="s">
        <v>42</v>
      </c>
      <c r="AH93" s="14">
        <v>0</v>
      </c>
      <c r="AI93" s="20">
        <v>0</v>
      </c>
      <c r="AJ93" s="14">
        <v>3</v>
      </c>
      <c r="AK93" s="14" t="s">
        <v>40</v>
      </c>
      <c r="AL93" s="14">
        <v>4</v>
      </c>
      <c r="AM93" s="14">
        <v>90</v>
      </c>
      <c r="AN93" s="14" t="s">
        <v>42</v>
      </c>
      <c r="AO93" s="14">
        <v>15</v>
      </c>
      <c r="AP93" s="14">
        <v>300</v>
      </c>
      <c r="AQ93" s="14" t="s">
        <v>42</v>
      </c>
      <c r="AR93" s="14" t="s">
        <v>35</v>
      </c>
      <c r="AS93" s="34">
        <v>5</v>
      </c>
      <c r="AT93" s="34">
        <v>2.5</v>
      </c>
      <c r="AU93" s="14" t="s">
        <v>35</v>
      </c>
      <c r="AV93" s="14" t="s">
        <v>35</v>
      </c>
      <c r="AW93" s="14" t="s">
        <v>38</v>
      </c>
      <c r="AX93" s="29">
        <v>65</v>
      </c>
      <c r="AY93" s="29"/>
      <c r="AZ93" s="29"/>
      <c r="BA93" s="29"/>
      <c r="BB93" s="14" t="s">
        <v>37</v>
      </c>
      <c r="BC93" s="14" t="s">
        <v>37</v>
      </c>
      <c r="BD93" s="14" t="s">
        <v>37</v>
      </c>
      <c r="BE93" s="14" t="s">
        <v>37</v>
      </c>
      <c r="BF93" s="35" t="s">
        <v>37</v>
      </c>
      <c r="BG93" s="36">
        <f>T93/100*(47)*14.08</f>
        <v>44672.704384</v>
      </c>
      <c r="BH93" s="36">
        <f>T93/100*(53)*28.16</f>
        <v>100751.205632</v>
      </c>
      <c r="BI93" s="37">
        <f t="shared" si="6"/>
        <v>145423.91001599998</v>
      </c>
      <c r="BJ93" s="36"/>
      <c r="BK93" s="37">
        <f>BJ93+BI93</f>
        <v>145423.91001599998</v>
      </c>
      <c r="BL93" s="38"/>
      <c r="BM93" s="38"/>
      <c r="BN93" s="37"/>
    </row>
    <row r="94" spans="1:66" s="17" customFormat="1" ht="46.5" customHeight="1">
      <c r="A94" s="3" t="s">
        <v>454</v>
      </c>
      <c r="B94" s="2">
        <v>594</v>
      </c>
      <c r="C94" s="3" t="s">
        <v>33</v>
      </c>
      <c r="D94" s="10" t="s">
        <v>50</v>
      </c>
      <c r="E94" s="10"/>
      <c r="F94" s="11"/>
      <c r="G94" s="3" t="s">
        <v>36</v>
      </c>
      <c r="H94" s="14"/>
      <c r="I94" s="39"/>
      <c r="J94" s="39"/>
      <c r="K94" s="14"/>
      <c r="L94" s="18">
        <v>10329</v>
      </c>
      <c r="M94" s="18">
        <v>8975</v>
      </c>
      <c r="N94" s="18">
        <v>10096</v>
      </c>
      <c r="O94" s="18">
        <v>12152</v>
      </c>
      <c r="P94" s="18">
        <v>13655</v>
      </c>
      <c r="Q94" s="18">
        <v>12973</v>
      </c>
      <c r="R94" s="18"/>
      <c r="S94" s="32"/>
      <c r="T94" s="18"/>
      <c r="U94" s="14"/>
      <c r="V94" s="18"/>
      <c r="W94" s="14"/>
      <c r="X94" s="18"/>
      <c r="Y94" s="14"/>
      <c r="Z94" s="33"/>
      <c r="AA94" s="14" t="s">
        <v>35</v>
      </c>
      <c r="AB94" s="18"/>
      <c r="AC94" s="14"/>
      <c r="AD94" s="18"/>
      <c r="AE94" s="18"/>
      <c r="AF94" s="18"/>
      <c r="AG94" s="14"/>
      <c r="AH94" s="14"/>
      <c r="AI94" s="20"/>
      <c r="AJ94" s="14"/>
      <c r="AK94" s="14"/>
      <c r="AL94" s="14"/>
      <c r="AM94" s="14"/>
      <c r="AN94" s="14"/>
      <c r="AO94" s="14"/>
      <c r="AP94" s="14"/>
      <c r="AQ94" s="14"/>
      <c r="AR94" s="14" t="s">
        <v>35</v>
      </c>
      <c r="AS94" s="34">
        <v>16.5</v>
      </c>
      <c r="AT94" s="34">
        <v>9.5</v>
      </c>
      <c r="AU94" s="14" t="s">
        <v>35</v>
      </c>
      <c r="AV94" s="14"/>
      <c r="AW94" s="14"/>
      <c r="AX94" s="29"/>
      <c r="AY94" s="29"/>
      <c r="AZ94" s="29"/>
      <c r="BA94" s="29"/>
      <c r="BB94" s="14"/>
      <c r="BC94" s="14"/>
      <c r="BD94" s="14"/>
      <c r="BE94" s="14"/>
      <c r="BF94" s="35"/>
      <c r="BG94" s="36"/>
      <c r="BH94" s="36"/>
      <c r="BI94" s="37"/>
      <c r="BJ94" s="36"/>
      <c r="BK94" s="37"/>
      <c r="BL94" s="38"/>
      <c r="BM94" s="38">
        <f t="shared" si="5"/>
        <v>0</v>
      </c>
      <c r="BN94" s="37"/>
    </row>
    <row r="95" spans="1:66" s="17" customFormat="1" ht="30">
      <c r="A95" s="3" t="s">
        <v>265</v>
      </c>
      <c r="B95" s="2">
        <v>2067</v>
      </c>
      <c r="C95" s="3" t="s">
        <v>33</v>
      </c>
      <c r="D95" s="3" t="s">
        <v>57</v>
      </c>
      <c r="E95" s="3"/>
      <c r="F95" s="11" t="s">
        <v>35</v>
      </c>
      <c r="G95" s="3" t="s">
        <v>188</v>
      </c>
      <c r="H95" s="14" t="s">
        <v>36</v>
      </c>
      <c r="I95" s="31" t="s">
        <v>465</v>
      </c>
      <c r="J95" s="31">
        <v>1976</v>
      </c>
      <c r="K95" s="14" t="s">
        <v>474</v>
      </c>
      <c r="L95" s="18"/>
      <c r="M95" s="18"/>
      <c r="N95" s="18">
        <v>128792</v>
      </c>
      <c r="O95" s="18">
        <v>123434</v>
      </c>
      <c r="P95" s="18">
        <v>157195</v>
      </c>
      <c r="Q95" s="18"/>
      <c r="R95" s="18">
        <v>152134</v>
      </c>
      <c r="S95" s="32"/>
      <c r="T95" s="18">
        <f>R95/100*68</f>
        <v>103451.12</v>
      </c>
      <c r="U95" s="14" t="s">
        <v>42</v>
      </c>
      <c r="V95" s="18">
        <v>84853</v>
      </c>
      <c r="W95" s="14" t="s">
        <v>42</v>
      </c>
      <c r="X95" s="18">
        <v>67281</v>
      </c>
      <c r="Y95" s="14" t="s">
        <v>42</v>
      </c>
      <c r="Z95" s="33" t="s">
        <v>38</v>
      </c>
      <c r="AA95" s="14" t="s">
        <v>35</v>
      </c>
      <c r="AB95" s="18" t="s">
        <v>266</v>
      </c>
      <c r="AC95" s="14" t="s">
        <v>35</v>
      </c>
      <c r="AD95" s="18" t="s">
        <v>266</v>
      </c>
      <c r="AE95" s="18" t="s">
        <v>266</v>
      </c>
      <c r="AF95" s="18" t="s">
        <v>41</v>
      </c>
      <c r="AG95" s="14" t="s">
        <v>37</v>
      </c>
      <c r="AH95" s="14" t="s">
        <v>41</v>
      </c>
      <c r="AI95" s="20" t="s">
        <v>41</v>
      </c>
      <c r="AJ95" s="14" t="s">
        <v>41</v>
      </c>
      <c r="AK95" s="14" t="s">
        <v>37</v>
      </c>
      <c r="AL95" s="14" t="s">
        <v>266</v>
      </c>
      <c r="AM95" s="14" t="s">
        <v>41</v>
      </c>
      <c r="AN95" s="14" t="s">
        <v>37</v>
      </c>
      <c r="AO95" s="14" t="s">
        <v>41</v>
      </c>
      <c r="AP95" s="14" t="s">
        <v>41</v>
      </c>
      <c r="AQ95" s="14" t="s">
        <v>37</v>
      </c>
      <c r="AR95" s="14" t="s">
        <v>38</v>
      </c>
      <c r="AS95" s="34"/>
      <c r="AT95" s="34"/>
      <c r="AU95" s="14" t="s">
        <v>35</v>
      </c>
      <c r="AV95" s="14" t="s">
        <v>35</v>
      </c>
      <c r="AW95" s="14" t="s">
        <v>38</v>
      </c>
      <c r="AX95" s="29"/>
      <c r="AY95" s="29"/>
      <c r="AZ95" s="29" t="s">
        <v>266</v>
      </c>
      <c r="BA95" s="29" t="s">
        <v>41</v>
      </c>
      <c r="BB95" s="14" t="s">
        <v>37</v>
      </c>
      <c r="BC95" s="14" t="s">
        <v>266</v>
      </c>
      <c r="BD95" s="14" t="s">
        <v>266</v>
      </c>
      <c r="BE95" s="14" t="s">
        <v>37</v>
      </c>
      <c r="BF95" s="35" t="s">
        <v>41</v>
      </c>
      <c r="BG95" s="36">
        <f>T95/100*(31)*11.29</f>
        <v>362068.5748879999</v>
      </c>
      <c r="BH95" s="36">
        <f>T95/100*(69)*22.59</f>
        <v>1612502.9525519998</v>
      </c>
      <c r="BI95" s="37">
        <f t="shared" si="6"/>
        <v>1974571.5274399999</v>
      </c>
      <c r="BJ95" s="36"/>
      <c r="BK95" s="37">
        <f aca="true" t="shared" si="8" ref="BK95:BK101">BJ95+BI95</f>
        <v>1974571.5274399999</v>
      </c>
      <c r="BL95" s="38"/>
      <c r="BM95" s="38"/>
      <c r="BN95" s="37"/>
    </row>
    <row r="96" spans="1:66" s="17" customFormat="1" ht="30">
      <c r="A96" s="3" t="s">
        <v>456</v>
      </c>
      <c r="B96" s="2">
        <v>681</v>
      </c>
      <c r="C96" s="3" t="s">
        <v>33</v>
      </c>
      <c r="D96" s="3" t="s">
        <v>61</v>
      </c>
      <c r="E96" s="3" t="s">
        <v>100</v>
      </c>
      <c r="F96" s="11" t="s">
        <v>35</v>
      </c>
      <c r="G96" s="3" t="s">
        <v>67</v>
      </c>
      <c r="H96" s="14" t="s">
        <v>67</v>
      </c>
      <c r="I96" s="31" t="s">
        <v>465</v>
      </c>
      <c r="J96" s="31">
        <v>2104</v>
      </c>
      <c r="K96" s="14" t="s">
        <v>472</v>
      </c>
      <c r="L96" s="18">
        <v>27682</v>
      </c>
      <c r="M96" s="18">
        <v>32645</v>
      </c>
      <c r="N96" s="18">
        <v>28702</v>
      </c>
      <c r="O96" s="18">
        <v>25295</v>
      </c>
      <c r="P96" s="18">
        <v>27230</v>
      </c>
      <c r="Q96" s="18">
        <v>32976</v>
      </c>
      <c r="R96" s="18">
        <v>27817</v>
      </c>
      <c r="S96" s="32">
        <f>(R96-Q96)/R96</f>
        <v>-0.18546212747600388</v>
      </c>
      <c r="T96" s="18">
        <f>R96/100*73</f>
        <v>20306.41</v>
      </c>
      <c r="U96" s="14" t="s">
        <v>40</v>
      </c>
      <c r="V96" s="18">
        <v>17642</v>
      </c>
      <c r="W96" s="14" t="s">
        <v>40</v>
      </c>
      <c r="X96" s="18">
        <v>10175</v>
      </c>
      <c r="Y96" s="14" t="s">
        <v>40</v>
      </c>
      <c r="Z96" s="33" t="s">
        <v>264</v>
      </c>
      <c r="AA96" s="14" t="s">
        <v>35</v>
      </c>
      <c r="AB96" s="18" t="s">
        <v>100</v>
      </c>
      <c r="AC96" s="14" t="s">
        <v>35</v>
      </c>
      <c r="AD96" s="18" t="s">
        <v>100</v>
      </c>
      <c r="AE96" s="18">
        <v>6</v>
      </c>
      <c r="AF96" s="18">
        <v>161</v>
      </c>
      <c r="AG96" s="14" t="s">
        <v>40</v>
      </c>
      <c r="AH96" s="14">
        <v>0</v>
      </c>
      <c r="AI96" s="20">
        <v>0</v>
      </c>
      <c r="AJ96" s="14">
        <v>0</v>
      </c>
      <c r="AK96" s="14" t="s">
        <v>40</v>
      </c>
      <c r="AL96" s="14" t="s">
        <v>37</v>
      </c>
      <c r="AM96" s="14" t="s">
        <v>37</v>
      </c>
      <c r="AN96" s="14" t="s">
        <v>37</v>
      </c>
      <c r="AO96" s="14" t="s">
        <v>37</v>
      </c>
      <c r="AP96" s="14" t="s">
        <v>37</v>
      </c>
      <c r="AQ96" s="14" t="s">
        <v>37</v>
      </c>
      <c r="AR96" s="14" t="s">
        <v>38</v>
      </c>
      <c r="AS96" s="34"/>
      <c r="AT96" s="34"/>
      <c r="AU96" s="14" t="s">
        <v>35</v>
      </c>
      <c r="AV96" s="14" t="s">
        <v>38</v>
      </c>
      <c r="AW96" s="14" t="s">
        <v>38</v>
      </c>
      <c r="AX96" s="29"/>
      <c r="AY96" s="29"/>
      <c r="AZ96" s="29" t="s">
        <v>100</v>
      </c>
      <c r="BA96" s="29" t="s">
        <v>100</v>
      </c>
      <c r="BB96" s="14" t="s">
        <v>37</v>
      </c>
      <c r="BC96" s="14" t="s">
        <v>100</v>
      </c>
      <c r="BD96" s="14" t="s">
        <v>100</v>
      </c>
      <c r="BE96" s="14" t="s">
        <v>37</v>
      </c>
      <c r="BF96" s="35" t="s">
        <v>37</v>
      </c>
      <c r="BG96" s="36">
        <f>T96/100*(44)*12.91</f>
        <v>115348.53136400001</v>
      </c>
      <c r="BH96" s="36">
        <f>T96/100*(56)*25.82</f>
        <v>293614.443472</v>
      </c>
      <c r="BI96" s="37">
        <f t="shared" si="6"/>
        <v>408962.974836</v>
      </c>
      <c r="BJ96" s="36"/>
      <c r="BK96" s="37">
        <f t="shared" si="8"/>
        <v>408962.974836</v>
      </c>
      <c r="BL96" s="38"/>
      <c r="BM96" s="38"/>
      <c r="BN96" s="37"/>
    </row>
    <row r="97" spans="1:66" s="17" customFormat="1" ht="45">
      <c r="A97" s="12" t="s">
        <v>267</v>
      </c>
      <c r="B97" s="2">
        <v>1984</v>
      </c>
      <c r="C97" s="3" t="s">
        <v>33</v>
      </c>
      <c r="D97" s="10" t="s">
        <v>34</v>
      </c>
      <c r="E97" s="10"/>
      <c r="F97" s="11" t="s">
        <v>35</v>
      </c>
      <c r="G97" s="3" t="s">
        <v>36</v>
      </c>
      <c r="H97" s="14" t="s">
        <v>36</v>
      </c>
      <c r="I97" s="31" t="s">
        <v>466</v>
      </c>
      <c r="J97" s="31">
        <v>1500</v>
      </c>
      <c r="K97" s="14" t="s">
        <v>471</v>
      </c>
      <c r="L97" s="18"/>
      <c r="M97" s="18"/>
      <c r="N97" s="18">
        <v>6296</v>
      </c>
      <c r="O97" s="18">
        <v>4939</v>
      </c>
      <c r="P97" s="18">
        <v>8747</v>
      </c>
      <c r="Q97" s="18"/>
      <c r="R97" s="18">
        <v>4000</v>
      </c>
      <c r="S97" s="32"/>
      <c r="T97" s="18">
        <f>R97/100*77</f>
        <v>3080</v>
      </c>
      <c r="U97" s="14" t="s">
        <v>42</v>
      </c>
      <c r="V97" s="18">
        <v>3500</v>
      </c>
      <c r="W97" s="14" t="s">
        <v>42</v>
      </c>
      <c r="X97" s="18">
        <v>645</v>
      </c>
      <c r="Y97" s="14" t="s">
        <v>42</v>
      </c>
      <c r="Z97" s="33" t="s">
        <v>37</v>
      </c>
      <c r="AA97" s="14" t="s">
        <v>35</v>
      </c>
      <c r="AB97" s="18" t="s">
        <v>37</v>
      </c>
      <c r="AC97" s="14" t="s">
        <v>35</v>
      </c>
      <c r="AD97" s="18">
        <v>1600</v>
      </c>
      <c r="AE97" s="18">
        <v>20</v>
      </c>
      <c r="AF97" s="18">
        <v>500</v>
      </c>
      <c r="AG97" s="14" t="s">
        <v>42</v>
      </c>
      <c r="AH97" s="14" t="s">
        <v>37</v>
      </c>
      <c r="AI97" s="20" t="s">
        <v>37</v>
      </c>
      <c r="AJ97" s="14">
        <v>10</v>
      </c>
      <c r="AK97" s="14" t="s">
        <v>42</v>
      </c>
      <c r="AL97" s="14" t="s">
        <v>37</v>
      </c>
      <c r="AM97" s="14" t="s">
        <v>37</v>
      </c>
      <c r="AN97" s="14" t="s">
        <v>37</v>
      </c>
      <c r="AO97" s="14" t="s">
        <v>37</v>
      </c>
      <c r="AP97" s="14" t="s">
        <v>37</v>
      </c>
      <c r="AQ97" s="14" t="s">
        <v>37</v>
      </c>
      <c r="AR97" s="14" t="s">
        <v>35</v>
      </c>
      <c r="AS97" s="34">
        <v>4.25</v>
      </c>
      <c r="AT97" s="34">
        <v>2.5</v>
      </c>
      <c r="AU97" s="14" t="s">
        <v>35</v>
      </c>
      <c r="AV97" s="14" t="s">
        <v>35</v>
      </c>
      <c r="AW97" s="14" t="s">
        <v>38</v>
      </c>
      <c r="AX97" s="29"/>
      <c r="AY97" s="29"/>
      <c r="AZ97" s="29">
        <v>30</v>
      </c>
      <c r="BA97" s="29">
        <v>1500</v>
      </c>
      <c r="BB97" s="14" t="s">
        <v>42</v>
      </c>
      <c r="BC97" s="14">
        <v>1</v>
      </c>
      <c r="BD97" s="14">
        <v>0.6</v>
      </c>
      <c r="BE97" s="14" t="s">
        <v>40</v>
      </c>
      <c r="BF97" s="35" t="s">
        <v>268</v>
      </c>
      <c r="BG97" s="36">
        <f>T97/100*(47)*14.08</f>
        <v>20382.208000000002</v>
      </c>
      <c r="BH97" s="36">
        <f>T97/100*(53)*28.16</f>
        <v>45968.384000000005</v>
      </c>
      <c r="BI97" s="37">
        <f t="shared" si="6"/>
        <v>66350.592</v>
      </c>
      <c r="BJ97" s="36"/>
      <c r="BK97" s="37">
        <f t="shared" si="8"/>
        <v>66350.592</v>
      </c>
      <c r="BL97" s="38">
        <v>0.31995</v>
      </c>
      <c r="BM97" s="38">
        <f t="shared" si="5"/>
        <v>0.91995</v>
      </c>
      <c r="BN97" s="37">
        <v>10714.285714285714</v>
      </c>
    </row>
    <row r="98" spans="1:66" s="17" customFormat="1" ht="60">
      <c r="A98" s="3" t="s">
        <v>269</v>
      </c>
      <c r="B98" s="2">
        <v>1636</v>
      </c>
      <c r="C98" s="3" t="s">
        <v>33</v>
      </c>
      <c r="D98" s="16" t="s">
        <v>44</v>
      </c>
      <c r="E98" s="16"/>
      <c r="F98" s="11" t="s">
        <v>35</v>
      </c>
      <c r="G98" s="3" t="s">
        <v>36</v>
      </c>
      <c r="H98" s="14" t="s">
        <v>36</v>
      </c>
      <c r="I98" s="31" t="s">
        <v>465</v>
      </c>
      <c r="J98" s="31" t="s">
        <v>270</v>
      </c>
      <c r="K98" s="14" t="s">
        <v>473</v>
      </c>
      <c r="L98" s="18"/>
      <c r="M98" s="18"/>
      <c r="N98" s="18"/>
      <c r="O98" s="18"/>
      <c r="P98" s="18">
        <v>63233</v>
      </c>
      <c r="Q98" s="18">
        <v>57285</v>
      </c>
      <c r="R98" s="18">
        <v>66483</v>
      </c>
      <c r="S98" s="32">
        <f>(R98-Q98)/R98</f>
        <v>0.13835115743874374</v>
      </c>
      <c r="T98" s="18">
        <f>R98/100*68</f>
        <v>45208.44</v>
      </c>
      <c r="U98" s="14" t="s">
        <v>40</v>
      </c>
      <c r="V98" s="18">
        <v>44126</v>
      </c>
      <c r="W98" s="14" t="s">
        <v>40</v>
      </c>
      <c r="X98" s="18">
        <v>21357</v>
      </c>
      <c r="Y98" s="14" t="s">
        <v>40</v>
      </c>
      <c r="Z98" s="33" t="s">
        <v>38</v>
      </c>
      <c r="AA98" s="14" t="s">
        <v>35</v>
      </c>
      <c r="AB98" s="18">
        <v>272424</v>
      </c>
      <c r="AC98" s="14" t="s">
        <v>35</v>
      </c>
      <c r="AD98" s="18">
        <v>9859</v>
      </c>
      <c r="AE98" s="18">
        <v>9</v>
      </c>
      <c r="AF98" s="18">
        <v>510</v>
      </c>
      <c r="AG98" s="14" t="s">
        <v>40</v>
      </c>
      <c r="AH98" s="14">
        <v>0</v>
      </c>
      <c r="AI98" s="20">
        <v>0</v>
      </c>
      <c r="AJ98" s="14" t="s">
        <v>37</v>
      </c>
      <c r="AK98" s="14" t="s">
        <v>37</v>
      </c>
      <c r="AL98" s="14">
        <v>20</v>
      </c>
      <c r="AM98" s="14">
        <v>811</v>
      </c>
      <c r="AN98" s="14" t="s">
        <v>42</v>
      </c>
      <c r="AO98" s="14">
        <v>0</v>
      </c>
      <c r="AP98" s="14" t="s">
        <v>37</v>
      </c>
      <c r="AQ98" s="14" t="s">
        <v>37</v>
      </c>
      <c r="AR98" s="14" t="s">
        <v>35</v>
      </c>
      <c r="AS98" s="34">
        <v>14.5</v>
      </c>
      <c r="AT98" s="34">
        <v>7</v>
      </c>
      <c r="AU98" s="14" t="s">
        <v>35</v>
      </c>
      <c r="AV98" s="14" t="s">
        <v>35</v>
      </c>
      <c r="AW98" s="14" t="s">
        <v>35</v>
      </c>
      <c r="AX98" s="29">
        <v>240</v>
      </c>
      <c r="AY98" s="29">
        <v>130000</v>
      </c>
      <c r="AZ98" s="29">
        <v>314</v>
      </c>
      <c r="BA98" s="29">
        <v>199704</v>
      </c>
      <c r="BB98" s="14" t="s">
        <v>42</v>
      </c>
      <c r="BC98" s="14">
        <v>14</v>
      </c>
      <c r="BD98" s="14">
        <v>30</v>
      </c>
      <c r="BE98" s="14" t="s">
        <v>42</v>
      </c>
      <c r="BF98" s="35" t="s">
        <v>271</v>
      </c>
      <c r="BG98" s="36">
        <f>T98/100*(31)*17.99</f>
        <v>252122.949036</v>
      </c>
      <c r="BH98" s="36">
        <f>T98/100*(69)*35.98</f>
        <v>1122353.7731279999</v>
      </c>
      <c r="BI98" s="37">
        <f t="shared" si="6"/>
        <v>1374476.722164</v>
      </c>
      <c r="BJ98" s="36">
        <v>861506</v>
      </c>
      <c r="BK98" s="37">
        <f t="shared" si="8"/>
        <v>2235982.722164</v>
      </c>
      <c r="BL98" s="38">
        <v>12.65625</v>
      </c>
      <c r="BM98" s="38">
        <f t="shared" si="5"/>
        <v>42.65625</v>
      </c>
      <c r="BN98" s="37">
        <v>1426457.142857143</v>
      </c>
    </row>
    <row r="99" spans="1:66" s="17" customFormat="1" ht="45">
      <c r="A99" s="12" t="s">
        <v>272</v>
      </c>
      <c r="B99" s="2">
        <v>1938</v>
      </c>
      <c r="C99" s="3" t="s">
        <v>33</v>
      </c>
      <c r="D99" s="10" t="s">
        <v>50</v>
      </c>
      <c r="E99" s="10"/>
      <c r="F99" s="11" t="s">
        <v>35</v>
      </c>
      <c r="G99" s="3" t="s">
        <v>36</v>
      </c>
      <c r="H99" s="14" t="s">
        <v>36</v>
      </c>
      <c r="I99" s="31" t="s">
        <v>466</v>
      </c>
      <c r="J99" s="31" t="s">
        <v>37</v>
      </c>
      <c r="K99" s="14" t="s">
        <v>472</v>
      </c>
      <c r="L99" s="18">
        <v>36992</v>
      </c>
      <c r="M99" s="18">
        <v>39000</v>
      </c>
      <c r="N99" s="18">
        <v>40000</v>
      </c>
      <c r="O99" s="18">
        <v>40000</v>
      </c>
      <c r="P99" s="18">
        <v>34082</v>
      </c>
      <c r="Q99" s="18">
        <v>37060</v>
      </c>
      <c r="R99" s="18">
        <v>35000</v>
      </c>
      <c r="S99" s="32">
        <f>(R99-Q99)/R99</f>
        <v>-0.05885714285714286</v>
      </c>
      <c r="T99" s="18">
        <f>R99/100*73</f>
        <v>25550</v>
      </c>
      <c r="U99" s="14" t="s">
        <v>42</v>
      </c>
      <c r="V99" s="18">
        <v>30000</v>
      </c>
      <c r="W99" s="14" t="s">
        <v>42</v>
      </c>
      <c r="X99" s="18">
        <v>5000</v>
      </c>
      <c r="Y99" s="14" t="s">
        <v>42</v>
      </c>
      <c r="Z99" s="33" t="s">
        <v>124</v>
      </c>
      <c r="AA99" s="14" t="s">
        <v>35</v>
      </c>
      <c r="AB99" s="18">
        <v>331952</v>
      </c>
      <c r="AC99" s="14" t="s">
        <v>35</v>
      </c>
      <c r="AD99" s="18">
        <v>1000</v>
      </c>
      <c r="AE99" s="18">
        <v>20</v>
      </c>
      <c r="AF99" s="18">
        <v>1000</v>
      </c>
      <c r="AG99" s="48" t="s">
        <v>42</v>
      </c>
      <c r="AH99" s="48">
        <v>8</v>
      </c>
      <c r="AI99" s="49" t="s">
        <v>121</v>
      </c>
      <c r="AJ99" s="48">
        <v>18</v>
      </c>
      <c r="AK99" s="14" t="s">
        <v>40</v>
      </c>
      <c r="AL99" s="48">
        <v>170</v>
      </c>
      <c r="AM99" s="14">
        <v>170</v>
      </c>
      <c r="AN99" s="14" t="s">
        <v>40</v>
      </c>
      <c r="AO99" s="48">
        <v>6</v>
      </c>
      <c r="AP99" s="48" t="s">
        <v>121</v>
      </c>
      <c r="AQ99" s="14" t="s">
        <v>40</v>
      </c>
      <c r="AR99" s="14" t="s">
        <v>38</v>
      </c>
      <c r="AS99" s="34"/>
      <c r="AT99" s="34"/>
      <c r="AU99" s="14" t="s">
        <v>35</v>
      </c>
      <c r="AV99" s="14" t="s">
        <v>35</v>
      </c>
      <c r="AW99" s="14" t="s">
        <v>38</v>
      </c>
      <c r="AX99" s="29">
        <v>50</v>
      </c>
      <c r="AY99" s="29">
        <v>24000</v>
      </c>
      <c r="AZ99" s="29">
        <v>50</v>
      </c>
      <c r="BA99" s="29">
        <v>24000</v>
      </c>
      <c r="BB99" s="48" t="s">
        <v>42</v>
      </c>
      <c r="BC99" s="48">
        <v>1</v>
      </c>
      <c r="BD99" s="48">
        <v>0</v>
      </c>
      <c r="BE99" s="48" t="s">
        <v>40</v>
      </c>
      <c r="BF99" s="50" t="s">
        <v>273</v>
      </c>
      <c r="BG99" s="36">
        <f>T99/100*(44)*12.86</f>
        <v>144572.12</v>
      </c>
      <c r="BH99" s="36">
        <f>T99/100*(56)*25.73</f>
        <v>368144.84</v>
      </c>
      <c r="BI99" s="37">
        <f t="shared" si="6"/>
        <v>512716.96</v>
      </c>
      <c r="BJ99" s="36">
        <v>72732</v>
      </c>
      <c r="BK99" s="37">
        <f t="shared" si="8"/>
        <v>585448.96</v>
      </c>
      <c r="BL99" s="38">
        <v>0</v>
      </c>
      <c r="BM99" s="38">
        <f t="shared" si="5"/>
        <v>0</v>
      </c>
      <c r="BN99" s="37">
        <v>171428.57142857142</v>
      </c>
    </row>
    <row r="100" spans="1:66" s="17" customFormat="1" ht="45">
      <c r="A100" s="20" t="s">
        <v>274</v>
      </c>
      <c r="B100" s="2"/>
      <c r="C100" s="3" t="s">
        <v>209</v>
      </c>
      <c r="D100" s="10" t="s">
        <v>34</v>
      </c>
      <c r="E100" s="10"/>
      <c r="F100" s="11" t="s">
        <v>35</v>
      </c>
      <c r="G100" s="14" t="s">
        <v>36</v>
      </c>
      <c r="H100" s="14" t="s">
        <v>36</v>
      </c>
      <c r="I100" s="31" t="s">
        <v>466</v>
      </c>
      <c r="J100" s="31">
        <v>546</v>
      </c>
      <c r="K100" s="14" t="s">
        <v>471</v>
      </c>
      <c r="L100" s="18"/>
      <c r="M100" s="18"/>
      <c r="N100" s="18"/>
      <c r="O100" s="18"/>
      <c r="P100" s="18">
        <v>1500</v>
      </c>
      <c r="Q100" s="18">
        <v>2000</v>
      </c>
      <c r="R100" s="18">
        <v>3000</v>
      </c>
      <c r="S100" s="32">
        <f>(R100-Q100)/R100</f>
        <v>0.3333333333333333</v>
      </c>
      <c r="T100" s="18">
        <f>R100/100*77</f>
        <v>2310</v>
      </c>
      <c r="U100" s="14" t="s">
        <v>42</v>
      </c>
      <c r="V100" s="18">
        <v>1800</v>
      </c>
      <c r="W100" s="14" t="s">
        <v>42</v>
      </c>
      <c r="X100" s="18">
        <v>1200</v>
      </c>
      <c r="Y100" s="14" t="s">
        <v>42</v>
      </c>
      <c r="Z100" s="33" t="s">
        <v>275</v>
      </c>
      <c r="AA100" s="14" t="s">
        <v>35</v>
      </c>
      <c r="AB100" s="18">
        <v>16500</v>
      </c>
      <c r="AC100" s="14" t="s">
        <v>35</v>
      </c>
      <c r="AD100" s="18">
        <v>5000</v>
      </c>
      <c r="AE100" s="18">
        <v>2</v>
      </c>
      <c r="AF100" s="18">
        <v>60</v>
      </c>
      <c r="AG100" s="14" t="s">
        <v>40</v>
      </c>
      <c r="AH100" s="14">
        <v>0</v>
      </c>
      <c r="AI100" s="20">
        <v>0</v>
      </c>
      <c r="AJ100" s="14">
        <v>2</v>
      </c>
      <c r="AK100" s="14" t="s">
        <v>40</v>
      </c>
      <c r="AL100" s="14">
        <v>2</v>
      </c>
      <c r="AM100" s="14">
        <v>60</v>
      </c>
      <c r="AN100" s="14" t="s">
        <v>42</v>
      </c>
      <c r="AO100" s="14">
        <v>0</v>
      </c>
      <c r="AP100" s="14">
        <v>0</v>
      </c>
      <c r="AQ100" s="14" t="s">
        <v>40</v>
      </c>
      <c r="AR100" s="14" t="s">
        <v>35</v>
      </c>
      <c r="AS100" s="34">
        <v>6</v>
      </c>
      <c r="AT100" s="34">
        <v>3</v>
      </c>
      <c r="AU100" s="14" t="s">
        <v>38</v>
      </c>
      <c r="AV100" s="14" t="s">
        <v>35</v>
      </c>
      <c r="AW100" s="14" t="s">
        <v>38</v>
      </c>
      <c r="AX100" s="29">
        <v>10</v>
      </c>
      <c r="AY100" s="29">
        <v>2600</v>
      </c>
      <c r="AZ100" s="29">
        <v>10</v>
      </c>
      <c r="BA100" s="29">
        <v>2886</v>
      </c>
      <c r="BB100" s="14" t="s">
        <v>42</v>
      </c>
      <c r="BC100" s="14">
        <v>0</v>
      </c>
      <c r="BD100" s="14">
        <v>0</v>
      </c>
      <c r="BE100" s="14" t="s">
        <v>40</v>
      </c>
      <c r="BF100" s="35" t="s">
        <v>37</v>
      </c>
      <c r="BG100" s="36">
        <f>T100/100*(47)*14.08</f>
        <v>15286.656</v>
      </c>
      <c r="BH100" s="36">
        <f>T100/100*(53)*28.16</f>
        <v>34476.28800000001</v>
      </c>
      <c r="BI100" s="37">
        <f t="shared" si="6"/>
        <v>49762.94400000001</v>
      </c>
      <c r="BJ100" s="36"/>
      <c r="BK100" s="37">
        <f t="shared" si="8"/>
        <v>49762.94400000001</v>
      </c>
      <c r="BL100" s="38">
        <v>0</v>
      </c>
      <c r="BM100" s="38">
        <f t="shared" si="5"/>
        <v>0</v>
      </c>
      <c r="BN100" s="37">
        <v>20614.285714285714</v>
      </c>
    </row>
    <row r="101" spans="1:66" s="17" customFormat="1" ht="60">
      <c r="A101" s="3" t="s">
        <v>276</v>
      </c>
      <c r="B101" s="2">
        <v>569</v>
      </c>
      <c r="C101" s="3" t="s">
        <v>33</v>
      </c>
      <c r="D101" s="16" t="s">
        <v>44</v>
      </c>
      <c r="E101" s="16"/>
      <c r="F101" s="11" t="s">
        <v>35</v>
      </c>
      <c r="G101" s="3" t="s">
        <v>67</v>
      </c>
      <c r="H101" s="14" t="s">
        <v>36</v>
      </c>
      <c r="I101" s="31" t="s">
        <v>467</v>
      </c>
      <c r="J101" s="31">
        <v>1317</v>
      </c>
      <c r="K101" s="14" t="s">
        <v>472</v>
      </c>
      <c r="L101" s="18">
        <v>9414</v>
      </c>
      <c r="M101" s="18">
        <v>9287</v>
      </c>
      <c r="N101" s="18">
        <v>10445</v>
      </c>
      <c r="O101" s="18">
        <v>11209</v>
      </c>
      <c r="P101" s="18">
        <v>6700</v>
      </c>
      <c r="Q101" s="18"/>
      <c r="R101" s="18">
        <v>10720</v>
      </c>
      <c r="S101" s="32"/>
      <c r="T101" s="18">
        <f>R101/100*73</f>
        <v>7825.6</v>
      </c>
      <c r="U101" s="14" t="s">
        <v>40</v>
      </c>
      <c r="V101" s="18">
        <v>9123</v>
      </c>
      <c r="W101" s="14" t="s">
        <v>40</v>
      </c>
      <c r="X101" s="18">
        <v>1597</v>
      </c>
      <c r="Y101" s="14" t="s">
        <v>40</v>
      </c>
      <c r="Z101" s="33" t="s">
        <v>277</v>
      </c>
      <c r="AA101" s="14" t="s">
        <v>35</v>
      </c>
      <c r="AB101" s="18" t="s">
        <v>236</v>
      </c>
      <c r="AC101" s="14" t="s">
        <v>35</v>
      </c>
      <c r="AD101" s="18">
        <v>530</v>
      </c>
      <c r="AE101" s="18">
        <v>8</v>
      </c>
      <c r="AF101" s="18">
        <v>186</v>
      </c>
      <c r="AG101" s="14" t="s">
        <v>40</v>
      </c>
      <c r="AH101" s="14">
        <v>19</v>
      </c>
      <c r="AI101" s="20">
        <v>571</v>
      </c>
      <c r="AJ101" s="14">
        <v>9</v>
      </c>
      <c r="AK101" s="14" t="s">
        <v>40</v>
      </c>
      <c r="AL101" s="14">
        <v>52</v>
      </c>
      <c r="AM101" s="14">
        <v>2093</v>
      </c>
      <c r="AN101" s="14" t="s">
        <v>40</v>
      </c>
      <c r="AO101" s="14">
        <v>11</v>
      </c>
      <c r="AP101" s="14">
        <v>752</v>
      </c>
      <c r="AQ101" s="14" t="s">
        <v>40</v>
      </c>
      <c r="AR101" s="14" t="s">
        <v>38</v>
      </c>
      <c r="AS101" s="34"/>
      <c r="AT101" s="34"/>
      <c r="AU101" s="14" t="s">
        <v>38</v>
      </c>
      <c r="AV101" s="14" t="s">
        <v>38</v>
      </c>
      <c r="AW101" s="14" t="s">
        <v>38</v>
      </c>
      <c r="AX101" s="29"/>
      <c r="AY101" s="29"/>
      <c r="AZ101" s="29">
        <v>45</v>
      </c>
      <c r="BA101" s="29">
        <v>2295</v>
      </c>
      <c r="BB101" s="14" t="s">
        <v>40</v>
      </c>
      <c r="BC101" s="14">
        <v>5</v>
      </c>
      <c r="BD101" s="14">
        <v>2.8</v>
      </c>
      <c r="BE101" s="14" t="s">
        <v>40</v>
      </c>
      <c r="BF101" s="35" t="s">
        <v>278</v>
      </c>
      <c r="BG101" s="36">
        <f>T101/100*(44)*17.99</f>
        <v>61944.319359999994</v>
      </c>
      <c r="BH101" s="36">
        <f>T101/100*(56)*35.98</f>
        <v>157676.44928</v>
      </c>
      <c r="BI101" s="37">
        <f t="shared" si="6"/>
        <v>219620.76864</v>
      </c>
      <c r="BJ101" s="36">
        <v>27485</v>
      </c>
      <c r="BK101" s="37">
        <f t="shared" si="8"/>
        <v>247105.76864</v>
      </c>
      <c r="BL101" s="38">
        <v>1.3985999999999996</v>
      </c>
      <c r="BM101" s="38">
        <f t="shared" si="5"/>
        <v>4.198599999999999</v>
      </c>
      <c r="BN101" s="37">
        <v>16392.85714285714</v>
      </c>
    </row>
    <row r="102" spans="1:66" s="17" customFormat="1" ht="78" customHeight="1">
      <c r="A102" s="13" t="s">
        <v>279</v>
      </c>
      <c r="B102" s="2">
        <v>2054</v>
      </c>
      <c r="C102" s="3" t="s">
        <v>33</v>
      </c>
      <c r="D102" s="3" t="s">
        <v>61</v>
      </c>
      <c r="E102" s="3"/>
      <c r="F102" s="11"/>
      <c r="G102" s="3" t="s">
        <v>36</v>
      </c>
      <c r="H102" s="14"/>
      <c r="I102" s="39"/>
      <c r="J102" s="39"/>
      <c r="K102" s="14"/>
      <c r="L102" s="18"/>
      <c r="M102" s="18"/>
      <c r="N102" s="18"/>
      <c r="O102" s="18"/>
      <c r="P102" s="18">
        <v>27665</v>
      </c>
      <c r="Q102" s="18"/>
      <c r="R102" s="18"/>
      <c r="S102" s="32"/>
      <c r="T102" s="18"/>
      <c r="U102" s="14"/>
      <c r="V102" s="18"/>
      <c r="W102" s="14"/>
      <c r="X102" s="18"/>
      <c r="Y102" s="14"/>
      <c r="Z102" s="33"/>
      <c r="AA102" s="14" t="s">
        <v>35</v>
      </c>
      <c r="AB102" s="18"/>
      <c r="AC102" s="14"/>
      <c r="AD102" s="18"/>
      <c r="AE102" s="18"/>
      <c r="AF102" s="18"/>
      <c r="AG102" s="14"/>
      <c r="AH102" s="14"/>
      <c r="AI102" s="20"/>
      <c r="AJ102" s="14"/>
      <c r="AK102" s="14"/>
      <c r="AL102" s="14"/>
      <c r="AM102" s="14"/>
      <c r="AN102" s="14"/>
      <c r="AO102" s="14"/>
      <c r="AP102" s="14"/>
      <c r="AQ102" s="14"/>
      <c r="AR102" s="14" t="s">
        <v>35</v>
      </c>
      <c r="AS102" s="34">
        <v>2</v>
      </c>
      <c r="AT102" s="34">
        <v>0.5</v>
      </c>
      <c r="AU102" s="14" t="s">
        <v>35</v>
      </c>
      <c r="AV102" s="14"/>
      <c r="AW102" s="14"/>
      <c r="AX102" s="29"/>
      <c r="AY102" s="29"/>
      <c r="AZ102" s="29"/>
      <c r="BA102" s="29"/>
      <c r="BB102" s="14"/>
      <c r="BC102" s="14"/>
      <c r="BD102" s="14"/>
      <c r="BE102" s="14"/>
      <c r="BF102" s="35"/>
      <c r="BG102" s="36"/>
      <c r="BH102" s="36"/>
      <c r="BI102" s="37"/>
      <c r="BJ102" s="36"/>
      <c r="BK102" s="37"/>
      <c r="BL102" s="38"/>
      <c r="BM102" s="38">
        <f t="shared" si="5"/>
        <v>0</v>
      </c>
      <c r="BN102" s="37"/>
    </row>
    <row r="103" spans="1:66" s="17" customFormat="1" ht="30">
      <c r="A103" s="12" t="s">
        <v>450</v>
      </c>
      <c r="B103" s="2">
        <v>732</v>
      </c>
      <c r="C103" s="3" t="s">
        <v>33</v>
      </c>
      <c r="D103" s="10" t="s">
        <v>34</v>
      </c>
      <c r="E103" s="10" t="s">
        <v>109</v>
      </c>
      <c r="F103" s="11" t="s">
        <v>35</v>
      </c>
      <c r="G103" s="3" t="s">
        <v>67</v>
      </c>
      <c r="H103" s="8" t="s">
        <v>67</v>
      </c>
      <c r="I103" s="40" t="s">
        <v>465</v>
      </c>
      <c r="J103" s="40" t="s">
        <v>427</v>
      </c>
      <c r="K103" s="8" t="s">
        <v>474</v>
      </c>
      <c r="L103" s="18">
        <v>145996</v>
      </c>
      <c r="M103" s="18">
        <v>157136</v>
      </c>
      <c r="N103" s="18">
        <v>175430</v>
      </c>
      <c r="O103" s="18">
        <v>168905</v>
      </c>
      <c r="P103" s="18">
        <v>182984</v>
      </c>
      <c r="Q103" s="18">
        <v>193646</v>
      </c>
      <c r="R103" s="18">
        <v>213383</v>
      </c>
      <c r="S103" s="32">
        <f>(R103-Q103)/R103</f>
        <v>0.09249565335570313</v>
      </c>
      <c r="T103" s="18">
        <f>R103/100*68</f>
        <v>145100.44</v>
      </c>
      <c r="U103" s="8" t="s">
        <v>40</v>
      </c>
      <c r="V103" s="18">
        <v>148878</v>
      </c>
      <c r="W103" s="8" t="s">
        <v>40</v>
      </c>
      <c r="X103" s="18">
        <v>64505</v>
      </c>
      <c r="Y103" s="8" t="s">
        <v>40</v>
      </c>
      <c r="Z103" s="41" t="s">
        <v>38</v>
      </c>
      <c r="AA103" s="8" t="s">
        <v>35</v>
      </c>
      <c r="AB103" s="18" t="s">
        <v>428</v>
      </c>
      <c r="AC103" s="8" t="s">
        <v>35</v>
      </c>
      <c r="AD103" s="18">
        <v>13729</v>
      </c>
      <c r="AE103" s="18">
        <v>253</v>
      </c>
      <c r="AF103" s="18">
        <v>15608</v>
      </c>
      <c r="AG103" s="45" t="s">
        <v>40</v>
      </c>
      <c r="AH103" s="8">
        <v>3</v>
      </c>
      <c r="AI103" s="42">
        <v>580</v>
      </c>
      <c r="AJ103" s="8">
        <v>232</v>
      </c>
      <c r="AK103" s="8" t="s">
        <v>40</v>
      </c>
      <c r="AL103" s="8">
        <v>76</v>
      </c>
      <c r="AM103" s="8">
        <v>1603</v>
      </c>
      <c r="AN103" s="8" t="s">
        <v>40</v>
      </c>
      <c r="AO103" s="8">
        <v>0</v>
      </c>
      <c r="AP103" s="8">
        <v>0</v>
      </c>
      <c r="AQ103" s="8" t="s">
        <v>40</v>
      </c>
      <c r="AR103" s="8" t="s">
        <v>35</v>
      </c>
      <c r="AS103" s="34">
        <v>8.8</v>
      </c>
      <c r="AT103" s="34">
        <v>7</v>
      </c>
      <c r="AU103" s="8" t="s">
        <v>35</v>
      </c>
      <c r="AV103" s="8" t="s">
        <v>35</v>
      </c>
      <c r="AW103" s="8" t="s">
        <v>38</v>
      </c>
      <c r="AX103" s="29">
        <v>330</v>
      </c>
      <c r="AY103" s="29">
        <v>39713</v>
      </c>
      <c r="AZ103" s="29">
        <v>328</v>
      </c>
      <c r="BA103" s="29">
        <v>36419</v>
      </c>
      <c r="BB103" s="45" t="s">
        <v>40</v>
      </c>
      <c r="BC103" s="45" t="s">
        <v>424</v>
      </c>
      <c r="BD103" s="45">
        <v>143.02</v>
      </c>
      <c r="BE103" s="45" t="s">
        <v>40</v>
      </c>
      <c r="BF103" s="46" t="s">
        <v>37</v>
      </c>
      <c r="BG103" s="36">
        <f>T103/100*(31)*14.08</f>
        <v>633334.4005120001</v>
      </c>
      <c r="BH103" s="36">
        <f>T103/100*(69)*28.16</f>
        <v>2819359.589376</v>
      </c>
      <c r="BI103" s="37">
        <f t="shared" si="6"/>
        <v>3452693.9898880003</v>
      </c>
      <c r="BJ103" s="36">
        <v>3205767</v>
      </c>
      <c r="BK103" s="37">
        <f>BJ103+BI103</f>
        <v>6658460.989888</v>
      </c>
      <c r="BL103" s="44">
        <v>60.336562500000014</v>
      </c>
      <c r="BM103" s="38">
        <f t="shared" si="5"/>
        <v>203.35656250000002</v>
      </c>
      <c r="BN103" s="37">
        <v>260135.71428571426</v>
      </c>
    </row>
    <row r="104" spans="1:66" s="17" customFormat="1" ht="78" customHeight="1">
      <c r="A104" s="3" t="s">
        <v>280</v>
      </c>
      <c r="B104" s="2">
        <v>1598</v>
      </c>
      <c r="C104" s="3" t="s">
        <v>33</v>
      </c>
      <c r="D104" s="16" t="s">
        <v>44</v>
      </c>
      <c r="E104" s="16"/>
      <c r="F104" s="11"/>
      <c r="G104" s="3" t="s">
        <v>36</v>
      </c>
      <c r="H104" s="14"/>
      <c r="I104" s="39"/>
      <c r="J104" s="39"/>
      <c r="K104" s="14"/>
      <c r="L104" s="18"/>
      <c r="M104" s="18"/>
      <c r="N104" s="18"/>
      <c r="O104" s="18"/>
      <c r="P104" s="18"/>
      <c r="Q104" s="18"/>
      <c r="R104" s="18"/>
      <c r="S104" s="32"/>
      <c r="T104" s="18"/>
      <c r="U104" s="14"/>
      <c r="V104" s="18"/>
      <c r="W104" s="14"/>
      <c r="X104" s="18"/>
      <c r="Y104" s="14"/>
      <c r="Z104" s="33"/>
      <c r="AA104" s="14" t="s">
        <v>35</v>
      </c>
      <c r="AB104" s="18"/>
      <c r="AC104" s="14"/>
      <c r="AD104" s="18"/>
      <c r="AE104" s="18"/>
      <c r="AF104" s="18"/>
      <c r="AG104" s="14"/>
      <c r="AH104" s="14"/>
      <c r="AI104" s="20"/>
      <c r="AJ104" s="14"/>
      <c r="AK104" s="14"/>
      <c r="AL104" s="14"/>
      <c r="AM104" s="14"/>
      <c r="AN104" s="14"/>
      <c r="AO104" s="14"/>
      <c r="AP104" s="14"/>
      <c r="AQ104" s="14"/>
      <c r="AR104" s="14" t="s">
        <v>35</v>
      </c>
      <c r="AS104" s="34">
        <v>3.5</v>
      </c>
      <c r="AT104" s="34">
        <v>1.5</v>
      </c>
      <c r="AU104" s="14" t="s">
        <v>35</v>
      </c>
      <c r="AV104" s="14"/>
      <c r="AW104" s="14"/>
      <c r="AX104" s="29"/>
      <c r="AY104" s="29"/>
      <c r="AZ104" s="29"/>
      <c r="BA104" s="29"/>
      <c r="BB104" s="14"/>
      <c r="BC104" s="14"/>
      <c r="BD104" s="14"/>
      <c r="BE104" s="14"/>
      <c r="BF104" s="35"/>
      <c r="BG104" s="36"/>
      <c r="BH104" s="36"/>
      <c r="BI104" s="37"/>
      <c r="BJ104" s="36"/>
      <c r="BK104" s="37"/>
      <c r="BL104" s="38"/>
      <c r="BM104" s="38">
        <f t="shared" si="5"/>
        <v>0</v>
      </c>
      <c r="BN104" s="37"/>
    </row>
    <row r="105" spans="1:66" s="17" customFormat="1" ht="93" customHeight="1">
      <c r="A105" s="3" t="s">
        <v>281</v>
      </c>
      <c r="B105" s="2">
        <v>1656</v>
      </c>
      <c r="C105" s="3" t="s">
        <v>60</v>
      </c>
      <c r="D105" s="16" t="s">
        <v>34</v>
      </c>
      <c r="E105" s="16"/>
      <c r="F105" s="11"/>
      <c r="G105" s="3" t="s">
        <v>62</v>
      </c>
      <c r="H105" s="14"/>
      <c r="I105" s="39"/>
      <c r="J105" s="39"/>
      <c r="K105" s="14"/>
      <c r="L105" s="18"/>
      <c r="M105" s="18"/>
      <c r="N105" s="18"/>
      <c r="O105" s="18"/>
      <c r="P105" s="18"/>
      <c r="Q105" s="18"/>
      <c r="R105" s="18"/>
      <c r="S105" s="32"/>
      <c r="T105" s="18"/>
      <c r="U105" s="14"/>
      <c r="V105" s="18"/>
      <c r="W105" s="14"/>
      <c r="X105" s="18"/>
      <c r="Y105" s="14"/>
      <c r="Z105" s="33"/>
      <c r="AA105" s="14" t="s">
        <v>38</v>
      </c>
      <c r="AB105" s="18"/>
      <c r="AC105" s="14"/>
      <c r="AD105" s="18"/>
      <c r="AE105" s="18"/>
      <c r="AF105" s="18"/>
      <c r="AG105" s="14"/>
      <c r="AH105" s="14"/>
      <c r="AI105" s="20"/>
      <c r="AJ105" s="14"/>
      <c r="AK105" s="14"/>
      <c r="AL105" s="14"/>
      <c r="AM105" s="14"/>
      <c r="AN105" s="14"/>
      <c r="AO105" s="14"/>
      <c r="AP105" s="14"/>
      <c r="AQ105" s="14"/>
      <c r="AR105" s="14" t="s">
        <v>35</v>
      </c>
      <c r="AS105" s="34">
        <v>4.9</v>
      </c>
      <c r="AT105" s="34">
        <v>2.9</v>
      </c>
      <c r="AU105" s="14" t="s">
        <v>35</v>
      </c>
      <c r="AV105" s="14"/>
      <c r="AW105" s="14"/>
      <c r="AX105" s="29"/>
      <c r="AY105" s="29"/>
      <c r="AZ105" s="29"/>
      <c r="BA105" s="29"/>
      <c r="BB105" s="14"/>
      <c r="BC105" s="14"/>
      <c r="BD105" s="14"/>
      <c r="BE105" s="14"/>
      <c r="BF105" s="35"/>
      <c r="BG105" s="36"/>
      <c r="BH105" s="36"/>
      <c r="BI105" s="37"/>
      <c r="BJ105" s="36"/>
      <c r="BK105" s="37"/>
      <c r="BL105" s="38"/>
      <c r="BM105" s="38">
        <f t="shared" si="5"/>
        <v>0</v>
      </c>
      <c r="BN105" s="37"/>
    </row>
    <row r="106" spans="1:66" s="17" customFormat="1" ht="45">
      <c r="A106" s="12" t="s">
        <v>282</v>
      </c>
      <c r="B106" s="2">
        <v>1942</v>
      </c>
      <c r="C106" s="3" t="s">
        <v>33</v>
      </c>
      <c r="D106" s="10" t="s">
        <v>50</v>
      </c>
      <c r="E106" s="10"/>
      <c r="F106" s="11" t="s">
        <v>35</v>
      </c>
      <c r="G106" s="3" t="s">
        <v>36</v>
      </c>
      <c r="H106" s="14" t="s">
        <v>37</v>
      </c>
      <c r="I106" s="31" t="s">
        <v>466</v>
      </c>
      <c r="J106" s="31">
        <v>1795</v>
      </c>
      <c r="K106" s="14" t="s">
        <v>472</v>
      </c>
      <c r="L106" s="18">
        <v>34232</v>
      </c>
      <c r="M106" s="18">
        <v>37677</v>
      </c>
      <c r="N106" s="18">
        <v>33057</v>
      </c>
      <c r="O106" s="18">
        <v>31989</v>
      </c>
      <c r="P106" s="18">
        <v>27665</v>
      </c>
      <c r="Q106" s="18">
        <v>31046</v>
      </c>
      <c r="R106" s="18">
        <v>30810</v>
      </c>
      <c r="S106" s="32">
        <f>(R106-Q106)/R106</f>
        <v>-0.007659850697825381</v>
      </c>
      <c r="T106" s="18">
        <f>R106/100*73</f>
        <v>22491.300000000003</v>
      </c>
      <c r="U106" s="14" t="s">
        <v>40</v>
      </c>
      <c r="V106" s="18">
        <v>27270</v>
      </c>
      <c r="W106" s="14" t="s">
        <v>40</v>
      </c>
      <c r="X106" s="18">
        <v>3540</v>
      </c>
      <c r="Y106" s="14" t="s">
        <v>40</v>
      </c>
      <c r="Z106" s="33" t="s">
        <v>41</v>
      </c>
      <c r="AA106" s="14" t="s">
        <v>35</v>
      </c>
      <c r="AB106" s="18" t="s">
        <v>283</v>
      </c>
      <c r="AC106" s="14" t="s">
        <v>38</v>
      </c>
      <c r="AD106" s="18" t="s">
        <v>41</v>
      </c>
      <c r="AE106" s="18">
        <v>4</v>
      </c>
      <c r="AF106" s="18">
        <v>45</v>
      </c>
      <c r="AG106" s="14" t="s">
        <v>40</v>
      </c>
      <c r="AH106" s="14">
        <v>4</v>
      </c>
      <c r="AI106" s="20">
        <v>120</v>
      </c>
      <c r="AJ106" s="14">
        <v>4</v>
      </c>
      <c r="AK106" s="14" t="s">
        <v>40</v>
      </c>
      <c r="AL106" s="14">
        <v>2</v>
      </c>
      <c r="AM106" s="14">
        <v>125</v>
      </c>
      <c r="AN106" s="14" t="s">
        <v>40</v>
      </c>
      <c r="AO106" s="14" t="s">
        <v>284</v>
      </c>
      <c r="AP106" s="14" t="s">
        <v>285</v>
      </c>
      <c r="AQ106" s="14" t="s">
        <v>37</v>
      </c>
      <c r="AR106" s="14" t="s">
        <v>38</v>
      </c>
      <c r="AS106" s="34"/>
      <c r="AT106" s="34"/>
      <c r="AU106" s="14" t="s">
        <v>35</v>
      </c>
      <c r="AV106" s="14" t="s">
        <v>38</v>
      </c>
      <c r="AW106" s="14" t="s">
        <v>38</v>
      </c>
      <c r="AX106" s="29">
        <v>62</v>
      </c>
      <c r="AY106" s="29">
        <v>12830</v>
      </c>
      <c r="AZ106" s="29">
        <v>30</v>
      </c>
      <c r="BA106" s="29">
        <v>6000</v>
      </c>
      <c r="BB106" s="14" t="s">
        <v>42</v>
      </c>
      <c r="BC106" s="14">
        <v>0</v>
      </c>
      <c r="BD106" s="14">
        <v>0</v>
      </c>
      <c r="BE106" s="14" t="s">
        <v>40</v>
      </c>
      <c r="BF106" s="35" t="s">
        <v>286</v>
      </c>
      <c r="BG106" s="36">
        <f>T106/100*(44)*12.86</f>
        <v>127264.77192000003</v>
      </c>
      <c r="BH106" s="36">
        <f>T106/100*(56)*25.73</f>
        <v>324072.6434400001</v>
      </c>
      <c r="BI106" s="37">
        <f t="shared" si="6"/>
        <v>451337.4153600001</v>
      </c>
      <c r="BJ106" s="36">
        <v>15645.179999999998</v>
      </c>
      <c r="BK106" s="37">
        <f>BJ106+BI106</f>
        <v>466982.5953600001</v>
      </c>
      <c r="BL106" s="38">
        <v>0</v>
      </c>
      <c r="BM106" s="38">
        <f t="shared" si="5"/>
        <v>0</v>
      </c>
      <c r="BN106" s="37">
        <v>42857.142857142855</v>
      </c>
    </row>
    <row r="107" spans="1:66" s="17" customFormat="1" ht="46.5" customHeight="1">
      <c r="A107" s="3" t="s">
        <v>287</v>
      </c>
      <c r="B107" s="2">
        <v>1755</v>
      </c>
      <c r="C107" s="3" t="s">
        <v>33</v>
      </c>
      <c r="D107" s="10" t="s">
        <v>34</v>
      </c>
      <c r="E107" s="10"/>
      <c r="F107" s="11"/>
      <c r="G107" s="3" t="s">
        <v>55</v>
      </c>
      <c r="H107" s="14"/>
      <c r="I107" s="39"/>
      <c r="J107" s="39"/>
      <c r="K107" s="14"/>
      <c r="L107" s="18"/>
      <c r="M107" s="18"/>
      <c r="N107" s="18"/>
      <c r="O107" s="18"/>
      <c r="P107" s="18"/>
      <c r="Q107" s="18"/>
      <c r="R107" s="18"/>
      <c r="S107" s="32"/>
      <c r="T107" s="18"/>
      <c r="U107" s="14"/>
      <c r="V107" s="18"/>
      <c r="W107" s="14"/>
      <c r="X107" s="18"/>
      <c r="Y107" s="14"/>
      <c r="Z107" s="33"/>
      <c r="AA107" s="14" t="s">
        <v>35</v>
      </c>
      <c r="AB107" s="18"/>
      <c r="AC107" s="14"/>
      <c r="AD107" s="18"/>
      <c r="AE107" s="18"/>
      <c r="AF107" s="18"/>
      <c r="AG107" s="14"/>
      <c r="AH107" s="14"/>
      <c r="AI107" s="20"/>
      <c r="AJ107" s="14"/>
      <c r="AK107" s="14"/>
      <c r="AL107" s="14"/>
      <c r="AM107" s="14"/>
      <c r="AN107" s="14"/>
      <c r="AO107" s="14"/>
      <c r="AP107" s="14"/>
      <c r="AQ107" s="14"/>
      <c r="AR107" s="14" t="s">
        <v>35</v>
      </c>
      <c r="AS107" s="34">
        <v>9.6</v>
      </c>
      <c r="AT107" s="34">
        <v>4.8</v>
      </c>
      <c r="AU107" s="14" t="s">
        <v>35</v>
      </c>
      <c r="AV107" s="14"/>
      <c r="AW107" s="14"/>
      <c r="AX107" s="29"/>
      <c r="AY107" s="29"/>
      <c r="AZ107" s="29"/>
      <c r="BA107" s="29"/>
      <c r="BB107" s="14"/>
      <c r="BC107" s="14"/>
      <c r="BD107" s="14"/>
      <c r="BE107" s="14"/>
      <c r="BF107" s="35"/>
      <c r="BG107" s="36"/>
      <c r="BH107" s="36"/>
      <c r="BI107" s="37"/>
      <c r="BJ107" s="36"/>
      <c r="BK107" s="37"/>
      <c r="BL107" s="38"/>
      <c r="BM107" s="38">
        <f t="shared" si="5"/>
        <v>0</v>
      </c>
      <c r="BN107" s="37"/>
    </row>
    <row r="108" spans="1:66" s="17" customFormat="1" ht="62.25" customHeight="1">
      <c r="A108" s="3" t="s">
        <v>291</v>
      </c>
      <c r="B108" s="2">
        <v>1753</v>
      </c>
      <c r="C108" s="3" t="s">
        <v>33</v>
      </c>
      <c r="D108" s="10" t="s">
        <v>61</v>
      </c>
      <c r="E108" s="10"/>
      <c r="F108" s="11"/>
      <c r="G108" s="3" t="s">
        <v>55</v>
      </c>
      <c r="H108" s="14"/>
      <c r="I108" s="39"/>
      <c r="J108" s="39"/>
      <c r="K108" s="14"/>
      <c r="L108" s="18">
        <v>4500</v>
      </c>
      <c r="M108" s="18">
        <v>9500</v>
      </c>
      <c r="N108" s="18"/>
      <c r="O108" s="18"/>
      <c r="P108" s="18">
        <v>1492</v>
      </c>
      <c r="Q108" s="18"/>
      <c r="R108" s="18"/>
      <c r="S108" s="32"/>
      <c r="T108" s="18"/>
      <c r="U108" s="14"/>
      <c r="V108" s="18"/>
      <c r="W108" s="14"/>
      <c r="X108" s="18"/>
      <c r="Y108" s="14"/>
      <c r="Z108" s="33"/>
      <c r="AA108" s="14" t="s">
        <v>35</v>
      </c>
      <c r="AB108" s="18"/>
      <c r="AC108" s="14"/>
      <c r="AD108" s="18"/>
      <c r="AE108" s="18"/>
      <c r="AF108" s="18"/>
      <c r="AG108" s="14"/>
      <c r="AH108" s="14"/>
      <c r="AI108" s="20"/>
      <c r="AJ108" s="14"/>
      <c r="AK108" s="14"/>
      <c r="AL108" s="14"/>
      <c r="AM108" s="14"/>
      <c r="AN108" s="14"/>
      <c r="AO108" s="14"/>
      <c r="AP108" s="14"/>
      <c r="AQ108" s="14"/>
      <c r="AR108" s="14" t="s">
        <v>35</v>
      </c>
      <c r="AS108" s="34">
        <v>5.5</v>
      </c>
      <c r="AT108" s="34">
        <v>2.5</v>
      </c>
      <c r="AU108" s="14" t="s">
        <v>35</v>
      </c>
      <c r="AV108" s="14"/>
      <c r="AW108" s="14"/>
      <c r="AX108" s="29"/>
      <c r="AY108" s="29"/>
      <c r="AZ108" s="29"/>
      <c r="BA108" s="29"/>
      <c r="BB108" s="14"/>
      <c r="BC108" s="14"/>
      <c r="BD108" s="14"/>
      <c r="BE108" s="14"/>
      <c r="BF108" s="35"/>
      <c r="BG108" s="36"/>
      <c r="BH108" s="36"/>
      <c r="BI108" s="37"/>
      <c r="BJ108" s="36"/>
      <c r="BK108" s="37"/>
      <c r="BL108" s="38"/>
      <c r="BM108" s="38">
        <f t="shared" si="5"/>
        <v>0</v>
      </c>
      <c r="BN108" s="37"/>
    </row>
    <row r="109" spans="1:66" s="17" customFormat="1" ht="62.25" customHeight="1">
      <c r="A109" s="3" t="s">
        <v>292</v>
      </c>
      <c r="B109" s="2">
        <v>1751</v>
      </c>
      <c r="C109" s="3" t="s">
        <v>33</v>
      </c>
      <c r="D109" s="10" t="s">
        <v>44</v>
      </c>
      <c r="E109" s="10"/>
      <c r="F109" s="11"/>
      <c r="G109" s="3" t="s">
        <v>55</v>
      </c>
      <c r="H109" s="14"/>
      <c r="I109" s="39"/>
      <c r="J109" s="39"/>
      <c r="K109" s="14"/>
      <c r="L109" s="18"/>
      <c r="M109" s="18"/>
      <c r="N109" s="18"/>
      <c r="O109" s="18"/>
      <c r="P109" s="18"/>
      <c r="Q109" s="18"/>
      <c r="R109" s="18"/>
      <c r="S109" s="32"/>
      <c r="T109" s="18"/>
      <c r="U109" s="14"/>
      <c r="V109" s="18"/>
      <c r="W109" s="14"/>
      <c r="X109" s="18"/>
      <c r="Y109" s="14"/>
      <c r="Z109" s="33"/>
      <c r="AA109" s="14" t="s">
        <v>35</v>
      </c>
      <c r="AB109" s="18"/>
      <c r="AC109" s="14"/>
      <c r="AD109" s="18"/>
      <c r="AE109" s="18"/>
      <c r="AF109" s="18"/>
      <c r="AG109" s="14"/>
      <c r="AH109" s="14"/>
      <c r="AI109" s="20"/>
      <c r="AJ109" s="14"/>
      <c r="AK109" s="14"/>
      <c r="AL109" s="14"/>
      <c r="AM109" s="14"/>
      <c r="AN109" s="14"/>
      <c r="AO109" s="14"/>
      <c r="AP109" s="14"/>
      <c r="AQ109" s="14"/>
      <c r="AR109" s="14" t="s">
        <v>35</v>
      </c>
      <c r="AS109" s="34">
        <v>7.4</v>
      </c>
      <c r="AT109" s="34">
        <v>3.7</v>
      </c>
      <c r="AU109" s="14" t="s">
        <v>35</v>
      </c>
      <c r="AV109" s="14"/>
      <c r="AW109" s="14"/>
      <c r="AX109" s="29"/>
      <c r="AY109" s="29"/>
      <c r="AZ109" s="29"/>
      <c r="BA109" s="29"/>
      <c r="BB109" s="14"/>
      <c r="BC109" s="14"/>
      <c r="BD109" s="14"/>
      <c r="BE109" s="14"/>
      <c r="BF109" s="35"/>
      <c r="BG109" s="36"/>
      <c r="BH109" s="36"/>
      <c r="BI109" s="37"/>
      <c r="BJ109" s="36"/>
      <c r="BK109" s="37"/>
      <c r="BL109" s="38"/>
      <c r="BM109" s="38">
        <f t="shared" si="5"/>
        <v>0</v>
      </c>
      <c r="BN109" s="37"/>
    </row>
    <row r="110" spans="1:66" s="17" customFormat="1" ht="90">
      <c r="A110" s="21" t="s">
        <v>293</v>
      </c>
      <c r="B110" s="15"/>
      <c r="C110" s="3" t="s">
        <v>209</v>
      </c>
      <c r="D110" s="15" t="s">
        <v>34</v>
      </c>
      <c r="E110" s="15"/>
      <c r="F110" s="11" t="s">
        <v>35</v>
      </c>
      <c r="G110" s="15" t="s">
        <v>36</v>
      </c>
      <c r="H110" s="14" t="s">
        <v>37</v>
      </c>
      <c r="I110" s="31" t="s">
        <v>466</v>
      </c>
      <c r="J110" s="31">
        <v>652</v>
      </c>
      <c r="K110" s="14" t="s">
        <v>472</v>
      </c>
      <c r="L110" s="18"/>
      <c r="M110" s="18"/>
      <c r="N110" s="18">
        <v>6212</v>
      </c>
      <c r="O110" s="18">
        <v>6580</v>
      </c>
      <c r="P110" s="18"/>
      <c r="Q110" s="18"/>
      <c r="R110" s="18">
        <v>13119</v>
      </c>
      <c r="S110" s="32"/>
      <c r="T110" s="18">
        <f>R110/100*73</f>
        <v>9576.869999999999</v>
      </c>
      <c r="U110" s="14" t="s">
        <v>40</v>
      </c>
      <c r="V110" s="18">
        <v>11245</v>
      </c>
      <c r="W110" s="14" t="s">
        <v>42</v>
      </c>
      <c r="X110" s="18">
        <v>1874</v>
      </c>
      <c r="Y110" s="14" t="s">
        <v>42</v>
      </c>
      <c r="Z110" s="33" t="s">
        <v>294</v>
      </c>
      <c r="AA110" s="14" t="s">
        <v>35</v>
      </c>
      <c r="AB110" s="18">
        <v>1358</v>
      </c>
      <c r="AC110" s="14" t="s">
        <v>38</v>
      </c>
      <c r="AD110" s="18" t="s">
        <v>46</v>
      </c>
      <c r="AE110" s="18">
        <v>3</v>
      </c>
      <c r="AF110" s="18">
        <v>200</v>
      </c>
      <c r="AG110" s="14" t="s">
        <v>42</v>
      </c>
      <c r="AH110" s="14" t="s">
        <v>41</v>
      </c>
      <c r="AI110" s="20" t="s">
        <v>41</v>
      </c>
      <c r="AJ110" s="14" t="s">
        <v>41</v>
      </c>
      <c r="AK110" s="14" t="s">
        <v>37</v>
      </c>
      <c r="AL110" s="14">
        <v>1</v>
      </c>
      <c r="AM110" s="14">
        <v>25</v>
      </c>
      <c r="AN110" s="14" t="s">
        <v>37</v>
      </c>
      <c r="AO110" s="14" t="s">
        <v>41</v>
      </c>
      <c r="AP110" s="14" t="s">
        <v>41</v>
      </c>
      <c r="AQ110" s="14" t="s">
        <v>37</v>
      </c>
      <c r="AR110" s="14" t="s">
        <v>38</v>
      </c>
      <c r="AS110" s="34"/>
      <c r="AT110" s="34"/>
      <c r="AU110" s="14" t="s">
        <v>35</v>
      </c>
      <c r="AV110" s="14" t="s">
        <v>38</v>
      </c>
      <c r="AW110" s="14" t="s">
        <v>38</v>
      </c>
      <c r="AX110" s="29"/>
      <c r="AY110" s="29"/>
      <c r="AZ110" s="29">
        <v>26</v>
      </c>
      <c r="BA110" s="29">
        <v>672</v>
      </c>
      <c r="BB110" s="14" t="s">
        <v>40</v>
      </c>
      <c r="BC110" s="14">
        <v>0</v>
      </c>
      <c r="BD110" s="14">
        <v>0</v>
      </c>
      <c r="BE110" s="14" t="s">
        <v>40</v>
      </c>
      <c r="BF110" s="35" t="s">
        <v>41</v>
      </c>
      <c r="BG110" s="36">
        <f>T110/100*(44)*14.08</f>
        <v>59330.625024</v>
      </c>
      <c r="BH110" s="36">
        <f>T110/100*(56)*28.16</f>
        <v>151023.409152</v>
      </c>
      <c r="BI110" s="37">
        <f t="shared" si="6"/>
        <v>210354.03417600002</v>
      </c>
      <c r="BJ110" s="36"/>
      <c r="BK110" s="37">
        <f>BJ110+BI110</f>
        <v>210354.03417600002</v>
      </c>
      <c r="BL110" s="38">
        <v>0</v>
      </c>
      <c r="BM110" s="38">
        <f t="shared" si="5"/>
        <v>0</v>
      </c>
      <c r="BN110" s="37">
        <v>4800</v>
      </c>
    </row>
    <row r="111" spans="1:66" s="17" customFormat="1" ht="30">
      <c r="A111" s="3" t="s">
        <v>295</v>
      </c>
      <c r="B111" s="2">
        <v>726</v>
      </c>
      <c r="C111" s="3" t="s">
        <v>33</v>
      </c>
      <c r="D111" s="16" t="s">
        <v>44</v>
      </c>
      <c r="E111" s="16"/>
      <c r="F111" s="11" t="s">
        <v>35</v>
      </c>
      <c r="G111" s="3" t="s">
        <v>67</v>
      </c>
      <c r="H111" s="14" t="s">
        <v>36</v>
      </c>
      <c r="I111" s="31" t="s">
        <v>465</v>
      </c>
      <c r="J111" s="31">
        <v>8492</v>
      </c>
      <c r="K111" s="14" t="s">
        <v>473</v>
      </c>
      <c r="L111" s="18"/>
      <c r="M111" s="18"/>
      <c r="N111" s="18"/>
      <c r="O111" s="18"/>
      <c r="P111" s="18">
        <v>63755</v>
      </c>
      <c r="Q111" s="18">
        <v>57889</v>
      </c>
      <c r="R111" s="18">
        <v>72178</v>
      </c>
      <c r="S111" s="32">
        <f>(R111-Q111)/R111</f>
        <v>0.197968910194242</v>
      </c>
      <c r="T111" s="18">
        <f>R111/100*68</f>
        <v>49081.04</v>
      </c>
      <c r="U111" s="14" t="s">
        <v>42</v>
      </c>
      <c r="V111" s="18" t="s">
        <v>37</v>
      </c>
      <c r="W111" s="14" t="s">
        <v>37</v>
      </c>
      <c r="X111" s="18" t="s">
        <v>37</v>
      </c>
      <c r="Y111" s="14" t="s">
        <v>37</v>
      </c>
      <c r="Z111" s="33" t="s">
        <v>37</v>
      </c>
      <c r="AA111" s="14" t="s">
        <v>35</v>
      </c>
      <c r="AB111" s="18" t="s">
        <v>37</v>
      </c>
      <c r="AC111" s="14" t="s">
        <v>35</v>
      </c>
      <c r="AD111" s="18" t="s">
        <v>296</v>
      </c>
      <c r="AE111" s="18">
        <v>443</v>
      </c>
      <c r="AF111" s="18">
        <v>3667</v>
      </c>
      <c r="AG111" s="14" t="s">
        <v>40</v>
      </c>
      <c r="AH111" s="14">
        <v>29</v>
      </c>
      <c r="AI111" s="20">
        <v>852</v>
      </c>
      <c r="AJ111" s="14">
        <v>82</v>
      </c>
      <c r="AK111" s="14" t="s">
        <v>40</v>
      </c>
      <c r="AL111" s="14">
        <v>42</v>
      </c>
      <c r="AM111" s="14">
        <v>7526</v>
      </c>
      <c r="AN111" s="14" t="s">
        <v>40</v>
      </c>
      <c r="AO111" s="14">
        <v>120</v>
      </c>
      <c r="AP111" s="14">
        <v>926</v>
      </c>
      <c r="AQ111" s="14" t="s">
        <v>40</v>
      </c>
      <c r="AR111" s="14" t="s">
        <v>35</v>
      </c>
      <c r="AS111" s="34">
        <v>4</v>
      </c>
      <c r="AT111" s="34">
        <v>3</v>
      </c>
      <c r="AU111" s="14" t="s">
        <v>35</v>
      </c>
      <c r="AV111" s="14" t="s">
        <v>35</v>
      </c>
      <c r="AW111" s="14" t="s">
        <v>38</v>
      </c>
      <c r="AX111" s="29">
        <v>50</v>
      </c>
      <c r="AY111" s="29">
        <v>3850</v>
      </c>
      <c r="AZ111" s="29">
        <v>20</v>
      </c>
      <c r="BA111" s="29">
        <v>5600</v>
      </c>
      <c r="BB111" s="14" t="s">
        <v>42</v>
      </c>
      <c r="BC111" s="14">
        <v>17</v>
      </c>
      <c r="BD111" s="14">
        <v>8</v>
      </c>
      <c r="BE111" s="14" t="s">
        <v>40</v>
      </c>
      <c r="BF111" s="35" t="s">
        <v>297</v>
      </c>
      <c r="BG111" s="36">
        <f>T111/100*(31)*17.99</f>
        <v>273720.05197599996</v>
      </c>
      <c r="BH111" s="36">
        <f>T111/100*(69)*35.98</f>
        <v>1218495.7152479999</v>
      </c>
      <c r="BI111" s="37">
        <f t="shared" si="6"/>
        <v>1492215.7672239998</v>
      </c>
      <c r="BJ111" s="36">
        <v>156622</v>
      </c>
      <c r="BK111" s="37">
        <f>BJ111+BI111</f>
        <v>1648837.7672239998</v>
      </c>
      <c r="BL111" s="38">
        <v>3.375</v>
      </c>
      <c r="BM111" s="38">
        <f t="shared" si="5"/>
        <v>11.375</v>
      </c>
      <c r="BN111" s="37">
        <v>40000</v>
      </c>
    </row>
    <row r="112" spans="1:66" s="17" customFormat="1" ht="30">
      <c r="A112" s="3" t="s">
        <v>298</v>
      </c>
      <c r="B112" s="2">
        <v>2093</v>
      </c>
      <c r="C112" s="3" t="s">
        <v>33</v>
      </c>
      <c r="D112" s="3" t="s">
        <v>57</v>
      </c>
      <c r="E112" s="3"/>
      <c r="F112" s="11" t="s">
        <v>35</v>
      </c>
      <c r="G112" s="3" t="s">
        <v>36</v>
      </c>
      <c r="H112" s="14" t="s">
        <v>37</v>
      </c>
      <c r="I112" s="31" t="s">
        <v>465</v>
      </c>
      <c r="J112" s="31">
        <v>372</v>
      </c>
      <c r="K112" s="14" t="s">
        <v>471</v>
      </c>
      <c r="L112" s="18">
        <v>1287</v>
      </c>
      <c r="M112" s="18">
        <v>1407</v>
      </c>
      <c r="N112" s="18">
        <v>1873</v>
      </c>
      <c r="O112" s="18">
        <v>1558</v>
      </c>
      <c r="P112" s="18"/>
      <c r="Q112" s="18"/>
      <c r="R112" s="18">
        <v>1009</v>
      </c>
      <c r="S112" s="32"/>
      <c r="T112" s="18">
        <f>R112/100*77</f>
        <v>776.93</v>
      </c>
      <c r="U112" s="14" t="s">
        <v>40</v>
      </c>
      <c r="V112" s="18">
        <v>889</v>
      </c>
      <c r="W112" s="14" t="s">
        <v>40</v>
      </c>
      <c r="X112" s="18">
        <v>120</v>
      </c>
      <c r="Y112" s="14" t="s">
        <v>40</v>
      </c>
      <c r="Z112" s="33" t="s">
        <v>41</v>
      </c>
      <c r="AA112" s="14" t="s">
        <v>35</v>
      </c>
      <c r="AB112" s="18" t="s">
        <v>289</v>
      </c>
      <c r="AC112" s="14" t="s">
        <v>35</v>
      </c>
      <c r="AD112" s="18" t="s">
        <v>289</v>
      </c>
      <c r="AE112" s="18">
        <v>5</v>
      </c>
      <c r="AF112" s="18">
        <v>161</v>
      </c>
      <c r="AG112" s="14" t="s">
        <v>40</v>
      </c>
      <c r="AH112" s="14">
        <v>3</v>
      </c>
      <c r="AI112" s="20">
        <v>30</v>
      </c>
      <c r="AJ112" s="14">
        <v>4</v>
      </c>
      <c r="AK112" s="14" t="s">
        <v>40</v>
      </c>
      <c r="AL112" s="14">
        <v>1</v>
      </c>
      <c r="AM112" s="14">
        <v>13</v>
      </c>
      <c r="AN112" s="14" t="s">
        <v>40</v>
      </c>
      <c r="AO112" s="14">
        <v>0</v>
      </c>
      <c r="AP112" s="14">
        <v>0</v>
      </c>
      <c r="AQ112" s="14" t="s">
        <v>40</v>
      </c>
      <c r="AR112" s="14" t="s">
        <v>38</v>
      </c>
      <c r="AS112" s="34"/>
      <c r="AT112" s="34"/>
      <c r="AU112" s="14" t="s">
        <v>38</v>
      </c>
      <c r="AV112" s="14" t="s">
        <v>38</v>
      </c>
      <c r="AW112" s="14" t="s">
        <v>38</v>
      </c>
      <c r="AX112" s="29"/>
      <c r="AY112" s="29"/>
      <c r="AZ112" s="29">
        <v>26</v>
      </c>
      <c r="BA112" s="29">
        <v>744</v>
      </c>
      <c r="BB112" s="14" t="s">
        <v>40</v>
      </c>
      <c r="BC112" s="14">
        <v>0</v>
      </c>
      <c r="BD112" s="14">
        <v>0</v>
      </c>
      <c r="BE112" s="14" t="s">
        <v>40</v>
      </c>
      <c r="BF112" s="35" t="s">
        <v>41</v>
      </c>
      <c r="BG112" s="36">
        <f>T112/100*(47)*11.29</f>
        <v>4122.623658999999</v>
      </c>
      <c r="BH112" s="36">
        <f>T112/100*(53)*22.59</f>
        <v>9301.949811</v>
      </c>
      <c r="BI112" s="37">
        <f t="shared" si="6"/>
        <v>13424.57347</v>
      </c>
      <c r="BJ112" s="36">
        <v>1100</v>
      </c>
      <c r="BK112" s="37">
        <f>BJ112+BI112</f>
        <v>14524.57347</v>
      </c>
      <c r="BL112" s="38">
        <v>0</v>
      </c>
      <c r="BM112" s="38">
        <f t="shared" si="5"/>
        <v>0</v>
      </c>
      <c r="BN112" s="37">
        <v>5314.285714285715</v>
      </c>
    </row>
    <row r="113" spans="1:66" s="17" customFormat="1" ht="45">
      <c r="A113" s="12" t="s">
        <v>299</v>
      </c>
      <c r="B113" s="2">
        <v>2320</v>
      </c>
      <c r="C113" s="3" t="s">
        <v>33</v>
      </c>
      <c r="D113" s="16" t="s">
        <v>44</v>
      </c>
      <c r="E113" s="16"/>
      <c r="F113" s="11" t="s">
        <v>35</v>
      </c>
      <c r="G113" s="3" t="s">
        <v>36</v>
      </c>
      <c r="H113" s="14" t="s">
        <v>36</v>
      </c>
      <c r="I113" s="31" t="s">
        <v>466</v>
      </c>
      <c r="J113" s="31">
        <v>636</v>
      </c>
      <c r="K113" s="14" t="s">
        <v>471</v>
      </c>
      <c r="L113" s="18">
        <v>2473</v>
      </c>
      <c r="M113" s="18">
        <v>2626</v>
      </c>
      <c r="N113" s="18">
        <v>3676</v>
      </c>
      <c r="O113" s="18">
        <v>3020</v>
      </c>
      <c r="P113" s="18">
        <v>3355</v>
      </c>
      <c r="Q113" s="18">
        <v>4504</v>
      </c>
      <c r="R113" s="18">
        <v>4380</v>
      </c>
      <c r="S113" s="32">
        <f>(R113-Q113)/R113</f>
        <v>-0.028310502283105023</v>
      </c>
      <c r="T113" s="18">
        <f>R113/100*77</f>
        <v>3372.6</v>
      </c>
      <c r="U113" s="14" t="s">
        <v>42</v>
      </c>
      <c r="V113" s="18">
        <v>3764</v>
      </c>
      <c r="W113" s="14" t="s">
        <v>42</v>
      </c>
      <c r="X113" s="18">
        <v>616</v>
      </c>
      <c r="Y113" s="14" t="s">
        <v>42</v>
      </c>
      <c r="Z113" s="33" t="s">
        <v>37</v>
      </c>
      <c r="AA113" s="14" t="s">
        <v>35</v>
      </c>
      <c r="AB113" s="18" t="s">
        <v>37</v>
      </c>
      <c r="AC113" s="14" t="s">
        <v>38</v>
      </c>
      <c r="AD113" s="18" t="s">
        <v>37</v>
      </c>
      <c r="AE113" s="18">
        <v>19</v>
      </c>
      <c r="AF113" s="18">
        <v>570</v>
      </c>
      <c r="AG113" s="14" t="s">
        <v>42</v>
      </c>
      <c r="AH113" s="14">
        <v>0</v>
      </c>
      <c r="AI113" s="20">
        <v>0</v>
      </c>
      <c r="AJ113" s="14">
        <v>11</v>
      </c>
      <c r="AK113" s="14" t="s">
        <v>40</v>
      </c>
      <c r="AL113" s="14">
        <v>6</v>
      </c>
      <c r="AM113" s="14">
        <v>135</v>
      </c>
      <c r="AN113" s="14" t="s">
        <v>42</v>
      </c>
      <c r="AO113" s="14">
        <v>2</v>
      </c>
      <c r="AP113" s="14">
        <v>70</v>
      </c>
      <c r="AQ113" s="14" t="s">
        <v>42</v>
      </c>
      <c r="AR113" s="14" t="s">
        <v>35</v>
      </c>
      <c r="AS113" s="34">
        <v>3</v>
      </c>
      <c r="AT113" s="34">
        <v>1</v>
      </c>
      <c r="AU113" s="14" t="s">
        <v>35</v>
      </c>
      <c r="AV113" s="14" t="s">
        <v>35</v>
      </c>
      <c r="AW113" s="14" t="s">
        <v>38</v>
      </c>
      <c r="AX113" s="29">
        <v>35</v>
      </c>
      <c r="AY113" s="29">
        <v>3500</v>
      </c>
      <c r="AZ113" s="29">
        <v>38</v>
      </c>
      <c r="BA113" s="29">
        <v>8000</v>
      </c>
      <c r="BB113" s="14" t="s">
        <v>42</v>
      </c>
      <c r="BC113" s="14">
        <v>0</v>
      </c>
      <c r="BD113" s="14">
        <v>0</v>
      </c>
      <c r="BE113" s="14" t="s">
        <v>40</v>
      </c>
      <c r="BF113" s="35" t="s">
        <v>300</v>
      </c>
      <c r="BG113" s="36">
        <f>T113/100*(47)*17.99</f>
        <v>28516.344779999996</v>
      </c>
      <c r="BH113" s="36">
        <f>T113/100*(53)*35.98</f>
        <v>64313.458439999995</v>
      </c>
      <c r="BI113" s="37">
        <f t="shared" si="6"/>
        <v>92829.80321999999</v>
      </c>
      <c r="BJ113" s="36">
        <v>32052</v>
      </c>
      <c r="BK113" s="37">
        <f>BJ113+BI113</f>
        <v>124881.80321999999</v>
      </c>
      <c r="BL113" s="38">
        <v>0</v>
      </c>
      <c r="BM113" s="38">
        <f t="shared" si="5"/>
        <v>0</v>
      </c>
      <c r="BN113" s="37">
        <v>57142.857142857145</v>
      </c>
    </row>
    <row r="114" spans="1:66" s="17" customFormat="1" ht="78" customHeight="1">
      <c r="A114" s="3" t="s">
        <v>301</v>
      </c>
      <c r="B114" s="2">
        <v>655</v>
      </c>
      <c r="C114" s="3" t="s">
        <v>33</v>
      </c>
      <c r="D114" s="3" t="s">
        <v>61</v>
      </c>
      <c r="E114" s="3" t="s">
        <v>66</v>
      </c>
      <c r="F114" s="11" t="s">
        <v>35</v>
      </c>
      <c r="G114" s="3" t="s">
        <v>67</v>
      </c>
      <c r="H114" s="8" t="s">
        <v>67</v>
      </c>
      <c r="I114" s="40" t="s">
        <v>465</v>
      </c>
      <c r="J114" s="40" t="s">
        <v>445</v>
      </c>
      <c r="K114" s="8" t="s">
        <v>472</v>
      </c>
      <c r="L114" s="18"/>
      <c r="M114" s="18"/>
      <c r="N114" s="18"/>
      <c r="O114" s="18"/>
      <c r="P114" s="18">
        <v>19474</v>
      </c>
      <c r="Q114" s="18">
        <v>26288</v>
      </c>
      <c r="R114" s="18">
        <v>24170</v>
      </c>
      <c r="S114" s="32">
        <f>(R114-Q114)/R114</f>
        <v>-0.08762929251137774</v>
      </c>
      <c r="T114" s="18">
        <f>R114/100*73</f>
        <v>17644.1</v>
      </c>
      <c r="U114" s="8" t="s">
        <v>40</v>
      </c>
      <c r="V114" s="18" t="s">
        <v>46</v>
      </c>
      <c r="W114" s="8" t="s">
        <v>37</v>
      </c>
      <c r="X114" s="18" t="s">
        <v>46</v>
      </c>
      <c r="Y114" s="8" t="s">
        <v>37</v>
      </c>
      <c r="Z114" s="41" t="s">
        <v>38</v>
      </c>
      <c r="AA114" s="8" t="s">
        <v>35</v>
      </c>
      <c r="AB114" s="18" t="s">
        <v>37</v>
      </c>
      <c r="AC114" s="8" t="s">
        <v>35</v>
      </c>
      <c r="AD114" s="18" t="s">
        <v>37</v>
      </c>
      <c r="AE114" s="18">
        <v>37</v>
      </c>
      <c r="AF114" s="18">
        <v>870</v>
      </c>
      <c r="AG114" s="8" t="s">
        <v>40</v>
      </c>
      <c r="AH114" s="8" t="s">
        <v>37</v>
      </c>
      <c r="AI114" s="42" t="s">
        <v>37</v>
      </c>
      <c r="AJ114" s="8" t="s">
        <v>37</v>
      </c>
      <c r="AK114" s="8" t="s">
        <v>37</v>
      </c>
      <c r="AL114" s="8" t="s">
        <v>37</v>
      </c>
      <c r="AM114" s="8" t="s">
        <v>37</v>
      </c>
      <c r="AN114" s="8" t="s">
        <v>37</v>
      </c>
      <c r="AO114" s="8" t="s">
        <v>37</v>
      </c>
      <c r="AP114" s="8" t="s">
        <v>37</v>
      </c>
      <c r="AQ114" s="8" t="s">
        <v>37</v>
      </c>
      <c r="AR114" s="8" t="s">
        <v>38</v>
      </c>
      <c r="AS114" s="34"/>
      <c r="AT114" s="34"/>
      <c r="AU114" s="8" t="s">
        <v>35</v>
      </c>
      <c r="AV114" s="8" t="s">
        <v>35</v>
      </c>
      <c r="AW114" s="8" t="s">
        <v>38</v>
      </c>
      <c r="AX114" s="29"/>
      <c r="AY114" s="29"/>
      <c r="AZ114" s="29" t="s">
        <v>444</v>
      </c>
      <c r="BA114" s="29" t="s">
        <v>444</v>
      </c>
      <c r="BB114" s="8" t="s">
        <v>37</v>
      </c>
      <c r="BC114" s="8" t="s">
        <v>444</v>
      </c>
      <c r="BD114" s="8" t="s">
        <v>444</v>
      </c>
      <c r="BE114" s="8" t="s">
        <v>37</v>
      </c>
      <c r="BF114" s="43" t="s">
        <v>37</v>
      </c>
      <c r="BG114" s="36">
        <f>T114/100*(44)*12.91</f>
        <v>100225.54563999998</v>
      </c>
      <c r="BH114" s="36">
        <f>T114/100*(56)*25.82</f>
        <v>255119.57071999996</v>
      </c>
      <c r="BI114" s="37">
        <f t="shared" si="6"/>
        <v>355345.1163599999</v>
      </c>
      <c r="BJ114" s="36"/>
      <c r="BK114" s="37">
        <f>BJ114+BI114</f>
        <v>355345.1163599999</v>
      </c>
      <c r="BL114" s="44"/>
      <c r="BM114" s="38"/>
      <c r="BN114" s="37"/>
    </row>
    <row r="115" spans="1:66" s="17" customFormat="1" ht="46.5" customHeight="1">
      <c r="A115" s="12" t="s">
        <v>458</v>
      </c>
      <c r="B115" s="2">
        <v>1933</v>
      </c>
      <c r="C115" s="3" t="s">
        <v>33</v>
      </c>
      <c r="D115" s="10" t="s">
        <v>34</v>
      </c>
      <c r="E115" s="10"/>
      <c r="F115" s="11"/>
      <c r="G115" s="3" t="s">
        <v>36</v>
      </c>
      <c r="H115" s="14"/>
      <c r="I115" s="39"/>
      <c r="J115" s="39"/>
      <c r="K115" s="14"/>
      <c r="L115" s="18">
        <v>5611</v>
      </c>
      <c r="M115" s="18">
        <v>5788</v>
      </c>
      <c r="N115" s="18">
        <v>4209</v>
      </c>
      <c r="O115" s="18">
        <v>5159</v>
      </c>
      <c r="P115" s="18">
        <v>6012</v>
      </c>
      <c r="Q115" s="18">
        <v>6764</v>
      </c>
      <c r="R115" s="18"/>
      <c r="S115" s="32"/>
      <c r="T115" s="18"/>
      <c r="U115" s="14"/>
      <c r="V115" s="18"/>
      <c r="W115" s="14"/>
      <c r="X115" s="18"/>
      <c r="Y115" s="14"/>
      <c r="Z115" s="33"/>
      <c r="AA115" s="14" t="s">
        <v>35</v>
      </c>
      <c r="AB115" s="18"/>
      <c r="AC115" s="14"/>
      <c r="AD115" s="18"/>
      <c r="AE115" s="18"/>
      <c r="AF115" s="18"/>
      <c r="AG115" s="14"/>
      <c r="AH115" s="14"/>
      <c r="AI115" s="20"/>
      <c r="AJ115" s="14"/>
      <c r="AK115" s="14"/>
      <c r="AL115" s="14"/>
      <c r="AM115" s="14"/>
      <c r="AN115" s="14"/>
      <c r="AO115" s="14"/>
      <c r="AP115" s="14"/>
      <c r="AQ115" s="14"/>
      <c r="AR115" s="14" t="s">
        <v>35</v>
      </c>
      <c r="AS115" s="34">
        <v>10</v>
      </c>
      <c r="AT115" s="34">
        <v>5</v>
      </c>
      <c r="AU115" s="14" t="s">
        <v>35</v>
      </c>
      <c r="AV115" s="14"/>
      <c r="AW115" s="14"/>
      <c r="AX115" s="29">
        <v>60</v>
      </c>
      <c r="AY115" s="29">
        <v>11340</v>
      </c>
      <c r="AZ115" s="29"/>
      <c r="BA115" s="29"/>
      <c r="BB115" s="14"/>
      <c r="BC115" s="14"/>
      <c r="BD115" s="14"/>
      <c r="BE115" s="14"/>
      <c r="BF115" s="35"/>
      <c r="BG115" s="36"/>
      <c r="BH115" s="36"/>
      <c r="BI115" s="37"/>
      <c r="BJ115" s="36"/>
      <c r="BK115" s="37"/>
      <c r="BL115" s="38"/>
      <c r="BM115" s="38">
        <f t="shared" si="5"/>
        <v>0</v>
      </c>
      <c r="BN115" s="37"/>
    </row>
    <row r="116" spans="1:66" s="17" customFormat="1" ht="45">
      <c r="A116" s="3" t="s">
        <v>302</v>
      </c>
      <c r="B116" s="2">
        <v>1513</v>
      </c>
      <c r="C116" s="3" t="s">
        <v>33</v>
      </c>
      <c r="D116" s="16" t="s">
        <v>44</v>
      </c>
      <c r="E116" s="16"/>
      <c r="F116" s="11" t="s">
        <v>35</v>
      </c>
      <c r="G116" s="3" t="s">
        <v>36</v>
      </c>
      <c r="H116" s="14" t="s">
        <v>36</v>
      </c>
      <c r="I116" s="31" t="s">
        <v>466</v>
      </c>
      <c r="J116" s="31">
        <v>520</v>
      </c>
      <c r="K116" s="14" t="s">
        <v>471</v>
      </c>
      <c r="L116" s="18">
        <v>7501</v>
      </c>
      <c r="M116" s="18">
        <v>4454</v>
      </c>
      <c r="N116" s="18">
        <v>5260</v>
      </c>
      <c r="O116" s="18"/>
      <c r="P116" s="18">
        <v>3033</v>
      </c>
      <c r="Q116" s="18">
        <v>3254</v>
      </c>
      <c r="R116" s="18">
        <v>8083</v>
      </c>
      <c r="S116" s="32">
        <f>(R116-Q116)/R116</f>
        <v>0.5974266980081653</v>
      </c>
      <c r="T116" s="18">
        <f>R116/100*77</f>
        <v>6223.91</v>
      </c>
      <c r="U116" s="14" t="s">
        <v>40</v>
      </c>
      <c r="V116" s="18">
        <v>8011</v>
      </c>
      <c r="W116" s="14" t="s">
        <v>40</v>
      </c>
      <c r="X116" s="18">
        <v>72</v>
      </c>
      <c r="Y116" s="14" t="s">
        <v>40</v>
      </c>
      <c r="Z116" s="33" t="s">
        <v>46</v>
      </c>
      <c r="AA116" s="14" t="s">
        <v>35</v>
      </c>
      <c r="AB116" s="18">
        <v>45000</v>
      </c>
      <c r="AC116" s="14" t="s">
        <v>35</v>
      </c>
      <c r="AD116" s="18" t="s">
        <v>303</v>
      </c>
      <c r="AE116" s="18">
        <v>0</v>
      </c>
      <c r="AF116" s="18">
        <v>0</v>
      </c>
      <c r="AG116" s="14" t="s">
        <v>40</v>
      </c>
      <c r="AH116" s="14">
        <v>11</v>
      </c>
      <c r="AI116" s="20" t="s">
        <v>304</v>
      </c>
      <c r="AJ116" s="14" t="s">
        <v>305</v>
      </c>
      <c r="AK116" s="14" t="s">
        <v>42</v>
      </c>
      <c r="AL116" s="14">
        <v>5</v>
      </c>
      <c r="AM116" s="14">
        <v>300</v>
      </c>
      <c r="AN116" s="14" t="s">
        <v>42</v>
      </c>
      <c r="AO116" s="14">
        <v>11</v>
      </c>
      <c r="AP116" s="14">
        <v>320</v>
      </c>
      <c r="AQ116" s="14" t="s">
        <v>42</v>
      </c>
      <c r="AR116" s="14" t="s">
        <v>35</v>
      </c>
      <c r="AS116" s="34">
        <v>4.5</v>
      </c>
      <c r="AT116" s="34">
        <v>1</v>
      </c>
      <c r="AU116" s="14" t="s">
        <v>35</v>
      </c>
      <c r="AV116" s="14" t="s">
        <v>35</v>
      </c>
      <c r="AW116" s="14" t="s">
        <v>38</v>
      </c>
      <c r="AX116" s="29">
        <v>42</v>
      </c>
      <c r="AY116" s="29">
        <v>15650</v>
      </c>
      <c r="AZ116" s="29">
        <v>52</v>
      </c>
      <c r="BA116" s="29">
        <v>16580</v>
      </c>
      <c r="BB116" s="14" t="s">
        <v>42</v>
      </c>
      <c r="BC116" s="14">
        <v>0</v>
      </c>
      <c r="BD116" s="14">
        <v>0</v>
      </c>
      <c r="BE116" s="14" t="s">
        <v>40</v>
      </c>
      <c r="BF116" s="35" t="s">
        <v>306</v>
      </c>
      <c r="BG116" s="36">
        <f>T116/100*(47)*17.99</f>
        <v>52625.026223</v>
      </c>
      <c r="BH116" s="36">
        <f>T116/100*(53)*35.98</f>
        <v>118686.229354</v>
      </c>
      <c r="BI116" s="37">
        <f t="shared" si="6"/>
        <v>171311.255577</v>
      </c>
      <c r="BJ116" s="36">
        <v>35811</v>
      </c>
      <c r="BK116" s="37">
        <f>BJ116+BI116</f>
        <v>207122.255577</v>
      </c>
      <c r="BL116" s="38">
        <v>0</v>
      </c>
      <c r="BM116" s="38">
        <f t="shared" si="5"/>
        <v>0</v>
      </c>
      <c r="BN116" s="37">
        <v>118428.57142857142</v>
      </c>
    </row>
    <row r="117" spans="1:66" s="17" customFormat="1" ht="45">
      <c r="A117" s="22" t="s">
        <v>307</v>
      </c>
      <c r="B117" s="2"/>
      <c r="C117" s="3" t="s">
        <v>209</v>
      </c>
      <c r="D117" s="3" t="s">
        <v>61</v>
      </c>
      <c r="E117" s="3"/>
      <c r="F117" s="11" t="s">
        <v>35</v>
      </c>
      <c r="G117" s="3" t="s">
        <v>36</v>
      </c>
      <c r="H117" s="14" t="s">
        <v>37</v>
      </c>
      <c r="I117" s="31" t="s">
        <v>204</v>
      </c>
      <c r="J117" s="31" t="s">
        <v>308</v>
      </c>
      <c r="K117" s="14" t="s">
        <v>46</v>
      </c>
      <c r="L117" s="18"/>
      <c r="M117" s="18"/>
      <c r="N117" s="18"/>
      <c r="O117" s="18"/>
      <c r="P117" s="18"/>
      <c r="Q117" s="18"/>
      <c r="R117" s="18" t="s">
        <v>204</v>
      </c>
      <c r="S117" s="32"/>
      <c r="T117" s="18"/>
      <c r="U117" s="14" t="s">
        <v>40</v>
      </c>
      <c r="V117" s="18" t="s">
        <v>46</v>
      </c>
      <c r="W117" s="14" t="s">
        <v>40</v>
      </c>
      <c r="X117" s="18" t="s">
        <v>46</v>
      </c>
      <c r="Y117" s="14" t="s">
        <v>40</v>
      </c>
      <c r="Z117" s="33" t="s">
        <v>46</v>
      </c>
      <c r="AA117" s="14" t="s">
        <v>35</v>
      </c>
      <c r="AB117" s="18" t="s">
        <v>41</v>
      </c>
      <c r="AC117" s="14" t="s">
        <v>35</v>
      </c>
      <c r="AD117" s="18" t="s">
        <v>309</v>
      </c>
      <c r="AE117" s="18">
        <v>0</v>
      </c>
      <c r="AF117" s="18">
        <v>0</v>
      </c>
      <c r="AG117" s="14" t="s">
        <v>40</v>
      </c>
      <c r="AH117" s="14">
        <v>3</v>
      </c>
      <c r="AI117" s="20">
        <v>100</v>
      </c>
      <c r="AJ117" s="14">
        <v>3</v>
      </c>
      <c r="AK117" s="14" t="s">
        <v>37</v>
      </c>
      <c r="AL117" s="14">
        <v>0</v>
      </c>
      <c r="AM117" s="14">
        <v>0</v>
      </c>
      <c r="AN117" s="14" t="s">
        <v>37</v>
      </c>
      <c r="AO117" s="14">
        <v>4</v>
      </c>
      <c r="AP117" s="29">
        <v>2000</v>
      </c>
      <c r="AQ117" s="14" t="s">
        <v>481</v>
      </c>
      <c r="AR117" s="14" t="s">
        <v>38</v>
      </c>
      <c r="AS117" s="34"/>
      <c r="AT117" s="34"/>
      <c r="AU117" s="14" t="s">
        <v>35</v>
      </c>
      <c r="AV117" s="14" t="s">
        <v>38</v>
      </c>
      <c r="AW117" s="14" t="s">
        <v>38</v>
      </c>
      <c r="AX117" s="29"/>
      <c r="AY117" s="29"/>
      <c r="AZ117" s="29">
        <v>15</v>
      </c>
      <c r="BA117" s="29">
        <v>8830</v>
      </c>
      <c r="BB117" s="14" t="s">
        <v>40</v>
      </c>
      <c r="BC117" s="14">
        <v>0</v>
      </c>
      <c r="BD117" s="14">
        <v>0</v>
      </c>
      <c r="BE117" s="14" t="s">
        <v>40</v>
      </c>
      <c r="BF117" s="35" t="s">
        <v>310</v>
      </c>
      <c r="BG117" s="36"/>
      <c r="BH117" s="36"/>
      <c r="BI117" s="37"/>
      <c r="BJ117" s="36">
        <v>3250</v>
      </c>
      <c r="BK117" s="37">
        <f>BJ117+BI117</f>
        <v>3250</v>
      </c>
      <c r="BL117" s="38"/>
      <c r="BM117" s="38">
        <f t="shared" si="5"/>
        <v>0</v>
      </c>
      <c r="BN117" s="37">
        <v>63071.428571428565</v>
      </c>
    </row>
    <row r="118" spans="1:66" s="17" customFormat="1" ht="45">
      <c r="A118" s="13" t="s">
        <v>311</v>
      </c>
      <c r="B118" s="2">
        <v>2212</v>
      </c>
      <c r="C118" s="3" t="s">
        <v>33</v>
      </c>
      <c r="D118" s="3" t="s">
        <v>61</v>
      </c>
      <c r="E118" s="3"/>
      <c r="F118" s="11" t="s">
        <v>35</v>
      </c>
      <c r="G118" s="3" t="s">
        <v>67</v>
      </c>
      <c r="H118" s="14" t="s">
        <v>67</v>
      </c>
      <c r="I118" s="31" t="s">
        <v>466</v>
      </c>
      <c r="J118" s="31">
        <v>220</v>
      </c>
      <c r="K118" s="14" t="s">
        <v>471</v>
      </c>
      <c r="L118" s="18">
        <v>2846</v>
      </c>
      <c r="M118" s="18">
        <v>3384</v>
      </c>
      <c r="N118" s="18">
        <v>2724</v>
      </c>
      <c r="O118" s="18">
        <v>2989</v>
      </c>
      <c r="P118" s="18">
        <v>2637</v>
      </c>
      <c r="Q118" s="18">
        <v>3390</v>
      </c>
      <c r="R118" s="18">
        <v>3273</v>
      </c>
      <c r="S118" s="32">
        <f>(R118-Q118)/R118</f>
        <v>-0.035747021081576534</v>
      </c>
      <c r="T118" s="18">
        <f>R118/100*77</f>
        <v>2520.2099999999996</v>
      </c>
      <c r="U118" s="14" t="s">
        <v>42</v>
      </c>
      <c r="V118" s="18">
        <v>1700</v>
      </c>
      <c r="W118" s="14" t="s">
        <v>42</v>
      </c>
      <c r="X118" s="18">
        <v>1573</v>
      </c>
      <c r="Y118" s="14" t="s">
        <v>42</v>
      </c>
      <c r="Z118" s="33" t="s">
        <v>37</v>
      </c>
      <c r="AA118" s="14" t="s">
        <v>35</v>
      </c>
      <c r="AB118" s="18" t="s">
        <v>37</v>
      </c>
      <c r="AC118" s="14" t="s">
        <v>35</v>
      </c>
      <c r="AD118" s="18">
        <v>627</v>
      </c>
      <c r="AE118" s="18">
        <v>7</v>
      </c>
      <c r="AF118" s="18">
        <v>117</v>
      </c>
      <c r="AG118" s="14" t="s">
        <v>40</v>
      </c>
      <c r="AH118" s="14">
        <v>0</v>
      </c>
      <c r="AI118" s="20">
        <v>0</v>
      </c>
      <c r="AJ118" s="14">
        <v>3</v>
      </c>
      <c r="AK118" s="14" t="s">
        <v>40</v>
      </c>
      <c r="AL118" s="14">
        <v>0</v>
      </c>
      <c r="AM118" s="14">
        <v>0</v>
      </c>
      <c r="AN118" s="14" t="s">
        <v>40</v>
      </c>
      <c r="AO118" s="14">
        <v>0</v>
      </c>
      <c r="AP118" s="14">
        <v>0</v>
      </c>
      <c r="AQ118" s="14" t="s">
        <v>40</v>
      </c>
      <c r="AR118" s="14" t="s">
        <v>38</v>
      </c>
      <c r="AS118" s="34"/>
      <c r="AT118" s="34"/>
      <c r="AU118" s="14" t="s">
        <v>38</v>
      </c>
      <c r="AV118" s="14" t="s">
        <v>38</v>
      </c>
      <c r="AW118" s="14" t="s">
        <v>38</v>
      </c>
      <c r="AX118" s="29">
        <v>30</v>
      </c>
      <c r="AY118" s="29">
        <v>1130</v>
      </c>
      <c r="AZ118" s="29">
        <v>40</v>
      </c>
      <c r="BA118" s="29">
        <v>900</v>
      </c>
      <c r="BB118" s="14" t="s">
        <v>42</v>
      </c>
      <c r="BC118" s="14">
        <v>0</v>
      </c>
      <c r="BD118" s="14">
        <v>0</v>
      </c>
      <c r="BE118" s="14" t="s">
        <v>40</v>
      </c>
      <c r="BF118" s="35" t="s">
        <v>37</v>
      </c>
      <c r="BG118" s="36">
        <f>T118/100*(47)*12.91</f>
        <v>15291.878216999996</v>
      </c>
      <c r="BH118" s="36">
        <f>T118/100*(53)*25.82</f>
        <v>34488.06576599999</v>
      </c>
      <c r="BI118" s="37">
        <f t="shared" si="6"/>
        <v>49779.94398299999</v>
      </c>
      <c r="BJ118" s="36"/>
      <c r="BK118" s="37">
        <f>BJ118+BI118</f>
        <v>49779.94398299999</v>
      </c>
      <c r="BL118" s="38">
        <v>0</v>
      </c>
      <c r="BM118" s="38">
        <f t="shared" si="5"/>
        <v>0</v>
      </c>
      <c r="BN118" s="37">
        <v>6428.571428571429</v>
      </c>
    </row>
    <row r="119" spans="1:66" s="17" customFormat="1" ht="45">
      <c r="A119" s="12" t="s">
        <v>312</v>
      </c>
      <c r="B119" s="2">
        <v>2207</v>
      </c>
      <c r="C119" s="3" t="s">
        <v>33</v>
      </c>
      <c r="D119" s="10" t="s">
        <v>34</v>
      </c>
      <c r="E119" s="10"/>
      <c r="F119" s="11" t="s">
        <v>35</v>
      </c>
      <c r="G119" s="3" t="s">
        <v>36</v>
      </c>
      <c r="H119" s="14" t="s">
        <v>36</v>
      </c>
      <c r="I119" s="31" t="s">
        <v>466</v>
      </c>
      <c r="J119" s="31">
        <v>1836</v>
      </c>
      <c r="K119" s="14" t="s">
        <v>472</v>
      </c>
      <c r="L119" s="18">
        <v>39263</v>
      </c>
      <c r="M119" s="18">
        <v>41766</v>
      </c>
      <c r="N119" s="18">
        <v>36686</v>
      </c>
      <c r="O119" s="18">
        <v>38335</v>
      </c>
      <c r="P119" s="18">
        <v>35138</v>
      </c>
      <c r="Q119" s="18">
        <v>35300</v>
      </c>
      <c r="R119" s="18">
        <v>49308</v>
      </c>
      <c r="S119" s="32">
        <f>(R119-Q119)/R119</f>
        <v>0.28409183094021256</v>
      </c>
      <c r="T119" s="18">
        <f>R119/100*73</f>
        <v>35994.84</v>
      </c>
      <c r="U119" s="14" t="s">
        <v>42</v>
      </c>
      <c r="V119" s="18">
        <v>39531</v>
      </c>
      <c r="W119" s="14" t="s">
        <v>42</v>
      </c>
      <c r="X119" s="18">
        <v>9776</v>
      </c>
      <c r="Y119" s="14" t="s">
        <v>42</v>
      </c>
      <c r="Z119" s="33" t="s">
        <v>37</v>
      </c>
      <c r="AA119" s="14" t="s">
        <v>35</v>
      </c>
      <c r="AB119" s="18" t="s">
        <v>37</v>
      </c>
      <c r="AC119" s="14" t="s">
        <v>35</v>
      </c>
      <c r="AD119" s="18">
        <v>467</v>
      </c>
      <c r="AE119" s="18">
        <v>71</v>
      </c>
      <c r="AF119" s="18">
        <v>3150</v>
      </c>
      <c r="AG119" s="14" t="s">
        <v>40</v>
      </c>
      <c r="AH119" s="14">
        <v>0</v>
      </c>
      <c r="AI119" s="20">
        <v>0</v>
      </c>
      <c r="AJ119" s="14">
        <v>71</v>
      </c>
      <c r="AK119" s="14" t="s">
        <v>42</v>
      </c>
      <c r="AL119" s="14" t="s">
        <v>37</v>
      </c>
      <c r="AM119" s="14" t="s">
        <v>37</v>
      </c>
      <c r="AN119" s="14" t="s">
        <v>37</v>
      </c>
      <c r="AO119" s="14">
        <v>0</v>
      </c>
      <c r="AP119" s="14">
        <v>0</v>
      </c>
      <c r="AQ119" s="14" t="s">
        <v>40</v>
      </c>
      <c r="AR119" s="14" t="s">
        <v>38</v>
      </c>
      <c r="AS119" s="34"/>
      <c r="AT119" s="34"/>
      <c r="AU119" s="14" t="s">
        <v>35</v>
      </c>
      <c r="AV119" s="14" t="s">
        <v>38</v>
      </c>
      <c r="AW119" s="14" t="s">
        <v>38</v>
      </c>
      <c r="AX119" s="29"/>
      <c r="AY119" s="29"/>
      <c r="AZ119" s="29">
        <v>42</v>
      </c>
      <c r="BA119" s="29">
        <v>5508</v>
      </c>
      <c r="BB119" s="14" t="s">
        <v>42</v>
      </c>
      <c r="BC119" s="14">
        <v>1</v>
      </c>
      <c r="BD119" s="14">
        <v>1</v>
      </c>
      <c r="BE119" s="14" t="s">
        <v>40</v>
      </c>
      <c r="BF119" s="35" t="s">
        <v>37</v>
      </c>
      <c r="BG119" s="36">
        <f>T119/100*(44)*14.08</f>
        <v>222995.232768</v>
      </c>
      <c r="BH119" s="36">
        <f>T119/100*(56)*28.16</f>
        <v>567624.228864</v>
      </c>
      <c r="BI119" s="37">
        <f t="shared" si="6"/>
        <v>790619.4616319999</v>
      </c>
      <c r="BJ119" s="36"/>
      <c r="BK119" s="37">
        <f>BJ119+BI119</f>
        <v>790619.4616319999</v>
      </c>
      <c r="BL119" s="38">
        <v>0.49949999999999994</v>
      </c>
      <c r="BM119" s="38">
        <f t="shared" si="5"/>
        <v>1.4994999999999998</v>
      </c>
      <c r="BN119" s="37">
        <v>39342.857142857145</v>
      </c>
    </row>
    <row r="120" spans="1:66" s="17" customFormat="1" ht="93" customHeight="1">
      <c r="A120" s="3" t="s">
        <v>313</v>
      </c>
      <c r="B120" s="2">
        <v>1657</v>
      </c>
      <c r="C120" s="3" t="s">
        <v>60</v>
      </c>
      <c r="D120" s="10" t="s">
        <v>34</v>
      </c>
      <c r="E120" s="10"/>
      <c r="F120" s="11"/>
      <c r="G120" s="3" t="s">
        <v>62</v>
      </c>
      <c r="H120" s="14"/>
      <c r="I120" s="39"/>
      <c r="J120" s="39"/>
      <c r="K120" s="14"/>
      <c r="L120" s="18"/>
      <c r="M120" s="18"/>
      <c r="N120" s="18"/>
      <c r="O120" s="18"/>
      <c r="P120" s="18"/>
      <c r="Q120" s="18"/>
      <c r="R120" s="18"/>
      <c r="S120" s="32"/>
      <c r="T120" s="18"/>
      <c r="U120" s="14"/>
      <c r="V120" s="18"/>
      <c r="W120" s="14"/>
      <c r="X120" s="18"/>
      <c r="Y120" s="14"/>
      <c r="Z120" s="33"/>
      <c r="AA120" s="14" t="s">
        <v>35</v>
      </c>
      <c r="AB120" s="18"/>
      <c r="AC120" s="14"/>
      <c r="AD120" s="18"/>
      <c r="AE120" s="18"/>
      <c r="AF120" s="18"/>
      <c r="AG120" s="14"/>
      <c r="AH120" s="14"/>
      <c r="AI120" s="20"/>
      <c r="AJ120" s="14"/>
      <c r="AK120" s="14"/>
      <c r="AL120" s="14"/>
      <c r="AM120" s="14"/>
      <c r="AN120" s="14"/>
      <c r="AO120" s="14"/>
      <c r="AP120" s="14"/>
      <c r="AQ120" s="14"/>
      <c r="AR120" s="14" t="s">
        <v>35</v>
      </c>
      <c r="AS120" s="34">
        <v>5.4</v>
      </c>
      <c r="AT120" s="34">
        <v>3.2</v>
      </c>
      <c r="AU120" s="14" t="s">
        <v>35</v>
      </c>
      <c r="AV120" s="14"/>
      <c r="AW120" s="14"/>
      <c r="AX120" s="29"/>
      <c r="AY120" s="29"/>
      <c r="AZ120" s="29"/>
      <c r="BA120" s="29"/>
      <c r="BB120" s="14"/>
      <c r="BC120" s="14"/>
      <c r="BD120" s="14"/>
      <c r="BE120" s="14"/>
      <c r="BF120" s="35"/>
      <c r="BG120" s="36"/>
      <c r="BH120" s="36"/>
      <c r="BI120" s="37"/>
      <c r="BJ120" s="36"/>
      <c r="BK120" s="37"/>
      <c r="BL120" s="38"/>
      <c r="BM120" s="38">
        <f t="shared" si="5"/>
        <v>0</v>
      </c>
      <c r="BN120" s="37"/>
    </row>
    <row r="121" spans="1:66" s="17" customFormat="1" ht="75">
      <c r="A121" s="12" t="s">
        <v>314</v>
      </c>
      <c r="B121" s="2">
        <v>1588</v>
      </c>
      <c r="C121" s="3" t="s">
        <v>33</v>
      </c>
      <c r="D121" s="16" t="s">
        <v>44</v>
      </c>
      <c r="E121" s="16"/>
      <c r="F121" s="11" t="s">
        <v>35</v>
      </c>
      <c r="G121" s="3" t="s">
        <v>45</v>
      </c>
      <c r="H121" s="14" t="s">
        <v>45</v>
      </c>
      <c r="I121" s="31" t="s">
        <v>465</v>
      </c>
      <c r="J121" s="31" t="s">
        <v>315</v>
      </c>
      <c r="K121" s="14" t="s">
        <v>473</v>
      </c>
      <c r="L121" s="18">
        <v>81750</v>
      </c>
      <c r="M121" s="18">
        <v>151646</v>
      </c>
      <c r="N121" s="18">
        <v>122116</v>
      </c>
      <c r="O121" s="18">
        <v>120000</v>
      </c>
      <c r="P121" s="18">
        <v>137000</v>
      </c>
      <c r="Q121" s="18">
        <v>125000</v>
      </c>
      <c r="R121" s="18">
        <v>86000</v>
      </c>
      <c r="S121" s="32">
        <f>(R121-Q121)/R121</f>
        <v>-0.45348837209302323</v>
      </c>
      <c r="T121" s="18">
        <f>R121/100*68</f>
        <v>58480</v>
      </c>
      <c r="U121" s="14" t="s">
        <v>42</v>
      </c>
      <c r="V121" s="18" t="s">
        <v>37</v>
      </c>
      <c r="W121" s="14" t="s">
        <v>37</v>
      </c>
      <c r="X121" s="18" t="s">
        <v>37</v>
      </c>
      <c r="Y121" s="14" t="s">
        <v>37</v>
      </c>
      <c r="Z121" s="33" t="s">
        <v>37</v>
      </c>
      <c r="AA121" s="14" t="s">
        <v>35</v>
      </c>
      <c r="AB121" s="18" t="s">
        <v>46</v>
      </c>
      <c r="AC121" s="14" t="s">
        <v>35</v>
      </c>
      <c r="AD121" s="18" t="s">
        <v>316</v>
      </c>
      <c r="AE121" s="18">
        <v>0</v>
      </c>
      <c r="AF121" s="18">
        <v>0</v>
      </c>
      <c r="AG121" s="14" t="s">
        <v>40</v>
      </c>
      <c r="AH121" s="14">
        <v>0</v>
      </c>
      <c r="AI121" s="20">
        <v>0</v>
      </c>
      <c r="AJ121" s="14">
        <v>0</v>
      </c>
      <c r="AK121" s="14" t="s">
        <v>40</v>
      </c>
      <c r="AL121" s="14">
        <v>1</v>
      </c>
      <c r="AM121" s="14">
        <v>30</v>
      </c>
      <c r="AN121" s="14" t="s">
        <v>42</v>
      </c>
      <c r="AO121" s="14">
        <v>0</v>
      </c>
      <c r="AP121" s="14">
        <v>0</v>
      </c>
      <c r="AQ121" s="14" t="s">
        <v>40</v>
      </c>
      <c r="AR121" s="14" t="s">
        <v>35</v>
      </c>
      <c r="AS121" s="34" t="s">
        <v>46</v>
      </c>
      <c r="AT121" s="34" t="s">
        <v>46</v>
      </c>
      <c r="AU121" s="14" t="s">
        <v>38</v>
      </c>
      <c r="AV121" s="14" t="s">
        <v>38</v>
      </c>
      <c r="AW121" s="14" t="s">
        <v>38</v>
      </c>
      <c r="AX121" s="29">
        <v>10</v>
      </c>
      <c r="AY121" s="29"/>
      <c r="AZ121" s="29">
        <v>6</v>
      </c>
      <c r="BA121" s="29" t="s">
        <v>317</v>
      </c>
      <c r="BB121" s="14" t="s">
        <v>42</v>
      </c>
      <c r="BC121" s="14">
        <v>1</v>
      </c>
      <c r="BD121" s="14">
        <v>1</v>
      </c>
      <c r="BE121" s="14" t="s">
        <v>40</v>
      </c>
      <c r="BF121" s="35" t="s">
        <v>318</v>
      </c>
      <c r="BG121" s="36">
        <f>T121/100*(31)*17.99</f>
        <v>326137.11199999996</v>
      </c>
      <c r="BH121" s="36">
        <f>T121/100*(69)*35.98</f>
        <v>1451836.1759999997</v>
      </c>
      <c r="BI121" s="37">
        <f t="shared" si="6"/>
        <v>1777973.2879999997</v>
      </c>
      <c r="BJ121" s="36"/>
      <c r="BK121" s="37">
        <f>BJ121+BI121</f>
        <v>1777973.2879999997</v>
      </c>
      <c r="BL121" s="38">
        <v>0.421875</v>
      </c>
      <c r="BM121" s="38">
        <f t="shared" si="5"/>
        <v>1.421875</v>
      </c>
      <c r="BN121" s="37"/>
    </row>
    <row r="122" spans="1:66" s="17" customFormat="1" ht="93" customHeight="1">
      <c r="A122" s="3" t="s">
        <v>319</v>
      </c>
      <c r="B122" s="2">
        <v>746</v>
      </c>
      <c r="C122" s="3" t="s">
        <v>33</v>
      </c>
      <c r="D122" s="16" t="s">
        <v>34</v>
      </c>
      <c r="E122" s="16"/>
      <c r="F122" s="11" t="s">
        <v>461</v>
      </c>
      <c r="G122" s="3" t="s">
        <v>67</v>
      </c>
      <c r="H122" s="14"/>
      <c r="I122" s="39"/>
      <c r="J122" s="39"/>
      <c r="K122" s="14"/>
      <c r="L122" s="18">
        <v>10936</v>
      </c>
      <c r="M122" s="18">
        <v>18567</v>
      </c>
      <c r="N122" s="18">
        <v>18247</v>
      </c>
      <c r="O122" s="18">
        <v>10437</v>
      </c>
      <c r="P122" s="18"/>
      <c r="Q122" s="18"/>
      <c r="R122" s="18"/>
      <c r="S122" s="32"/>
      <c r="T122" s="18"/>
      <c r="U122" s="14"/>
      <c r="V122" s="18"/>
      <c r="W122" s="14"/>
      <c r="X122" s="18"/>
      <c r="Y122" s="14"/>
      <c r="Z122" s="33"/>
      <c r="AA122" s="14" t="s">
        <v>35</v>
      </c>
      <c r="AB122" s="18"/>
      <c r="AC122" s="14"/>
      <c r="AD122" s="18"/>
      <c r="AE122" s="18"/>
      <c r="AF122" s="18"/>
      <c r="AG122" s="14"/>
      <c r="AH122" s="14"/>
      <c r="AI122" s="20"/>
      <c r="AJ122" s="14"/>
      <c r="AK122" s="14"/>
      <c r="AL122" s="14"/>
      <c r="AM122" s="14"/>
      <c r="AN122" s="14"/>
      <c r="AO122" s="14"/>
      <c r="AP122" s="14"/>
      <c r="AQ122" s="14"/>
      <c r="AR122" s="14" t="s">
        <v>35</v>
      </c>
      <c r="AS122" s="34" t="s">
        <v>46</v>
      </c>
      <c r="AT122" s="34" t="s">
        <v>46</v>
      </c>
      <c r="AU122" s="14" t="s">
        <v>35</v>
      </c>
      <c r="AV122" s="14"/>
      <c r="AW122" s="14"/>
      <c r="AX122" s="29"/>
      <c r="AY122" s="29"/>
      <c r="AZ122" s="29"/>
      <c r="BA122" s="29"/>
      <c r="BB122" s="14"/>
      <c r="BC122" s="14"/>
      <c r="BD122" s="14"/>
      <c r="BE122" s="14"/>
      <c r="BF122" s="35"/>
      <c r="BG122" s="36"/>
      <c r="BH122" s="36"/>
      <c r="BI122" s="37"/>
      <c r="BJ122" s="36"/>
      <c r="BK122" s="37"/>
      <c r="BL122" s="38"/>
      <c r="BM122" s="38">
        <f t="shared" si="5"/>
        <v>0</v>
      </c>
      <c r="BN122" s="37"/>
    </row>
    <row r="123" spans="1:66" s="17" customFormat="1" ht="90">
      <c r="A123" s="12" t="s">
        <v>320</v>
      </c>
      <c r="B123" s="2">
        <v>582</v>
      </c>
      <c r="C123" s="3" t="s">
        <v>33</v>
      </c>
      <c r="D123" s="3" t="s">
        <v>57</v>
      </c>
      <c r="E123" s="3"/>
      <c r="F123" s="11" t="s">
        <v>35</v>
      </c>
      <c r="G123" s="3" t="s">
        <v>67</v>
      </c>
      <c r="H123" s="14" t="s">
        <v>67</v>
      </c>
      <c r="I123" s="31" t="s">
        <v>465</v>
      </c>
      <c r="J123" s="31">
        <v>1116</v>
      </c>
      <c r="K123" s="14" t="s">
        <v>471</v>
      </c>
      <c r="L123" s="18">
        <v>4780</v>
      </c>
      <c r="M123" s="18">
        <v>4439</v>
      </c>
      <c r="N123" s="18">
        <v>4585</v>
      </c>
      <c r="O123" s="18">
        <v>5011</v>
      </c>
      <c r="P123" s="18">
        <v>4120</v>
      </c>
      <c r="Q123" s="18">
        <v>5602</v>
      </c>
      <c r="R123" s="18">
        <v>7502</v>
      </c>
      <c r="S123" s="32">
        <f>(R123-Q123)/R123</f>
        <v>0.2532657957877899</v>
      </c>
      <c r="T123" s="18">
        <f>R123/100*77</f>
        <v>5776.54</v>
      </c>
      <c r="U123" s="14" t="s">
        <v>40</v>
      </c>
      <c r="V123" s="18">
        <v>5500</v>
      </c>
      <c r="W123" s="14" t="s">
        <v>42</v>
      </c>
      <c r="X123" s="18">
        <v>2002</v>
      </c>
      <c r="Y123" s="14" t="s">
        <v>42</v>
      </c>
      <c r="Z123" s="33" t="s">
        <v>321</v>
      </c>
      <c r="AA123" s="14" t="s">
        <v>35</v>
      </c>
      <c r="AB123" s="18">
        <v>50</v>
      </c>
      <c r="AC123" s="14" t="s">
        <v>35</v>
      </c>
      <c r="AD123" s="18" t="s">
        <v>322</v>
      </c>
      <c r="AE123" s="18">
        <v>8</v>
      </c>
      <c r="AF123" s="18">
        <v>243</v>
      </c>
      <c r="AG123" s="14" t="s">
        <v>40</v>
      </c>
      <c r="AH123" s="14">
        <v>3</v>
      </c>
      <c r="AI123" s="20">
        <v>105</v>
      </c>
      <c r="AJ123" s="14">
        <v>9</v>
      </c>
      <c r="AK123" s="14" t="s">
        <v>42</v>
      </c>
      <c r="AL123" s="14">
        <v>130</v>
      </c>
      <c r="AM123" s="14">
        <v>4500</v>
      </c>
      <c r="AN123" s="14" t="s">
        <v>42</v>
      </c>
      <c r="AO123" s="14">
        <v>25</v>
      </c>
      <c r="AP123" s="14">
        <v>875</v>
      </c>
      <c r="AQ123" s="14" t="s">
        <v>42</v>
      </c>
      <c r="AR123" s="14" t="s">
        <v>38</v>
      </c>
      <c r="AS123" s="34"/>
      <c r="AT123" s="34"/>
      <c r="AU123" s="14" t="s">
        <v>35</v>
      </c>
      <c r="AV123" s="14" t="s">
        <v>38</v>
      </c>
      <c r="AW123" s="14" t="s">
        <v>38</v>
      </c>
      <c r="AX123" s="29">
        <v>34</v>
      </c>
      <c r="AY123" s="29">
        <v>4000</v>
      </c>
      <c r="AZ123" s="29">
        <v>45</v>
      </c>
      <c r="BA123" s="29">
        <v>4080</v>
      </c>
      <c r="BB123" s="14" t="s">
        <v>42</v>
      </c>
      <c r="BC123" s="14">
        <v>3</v>
      </c>
      <c r="BD123" s="14">
        <v>1.7</v>
      </c>
      <c r="BE123" s="14" t="s">
        <v>40</v>
      </c>
      <c r="BF123" s="35" t="s">
        <v>323</v>
      </c>
      <c r="BG123" s="36">
        <f>T123/100*(47)*11.29</f>
        <v>30652.054201999996</v>
      </c>
      <c r="BH123" s="36">
        <f>T123/100*(53)*22.59</f>
        <v>69160.78045800001</v>
      </c>
      <c r="BI123" s="37">
        <f t="shared" si="6"/>
        <v>99812.83466000001</v>
      </c>
      <c r="BJ123" s="36">
        <v>47147</v>
      </c>
      <c r="BK123" s="37">
        <f>BJ123+BI123</f>
        <v>146959.83466</v>
      </c>
      <c r="BL123" s="38">
        <v>0.9065249999999999</v>
      </c>
      <c r="BM123" s="38">
        <f t="shared" si="5"/>
        <v>2.606525</v>
      </c>
      <c r="BN123" s="37">
        <v>29142.857142857145</v>
      </c>
    </row>
    <row r="124" spans="1:66" s="17" customFormat="1" ht="135">
      <c r="A124" s="13" t="s">
        <v>324</v>
      </c>
      <c r="B124" s="2">
        <v>664</v>
      </c>
      <c r="C124" s="3" t="s">
        <v>33</v>
      </c>
      <c r="D124" s="3" t="s">
        <v>61</v>
      </c>
      <c r="E124" s="3"/>
      <c r="F124" s="11" t="s">
        <v>35</v>
      </c>
      <c r="G124" s="3" t="s">
        <v>67</v>
      </c>
      <c r="H124" s="14" t="s">
        <v>37</v>
      </c>
      <c r="I124" s="31" t="s">
        <v>465</v>
      </c>
      <c r="J124" s="31">
        <v>16126</v>
      </c>
      <c r="K124" s="14" t="s">
        <v>472</v>
      </c>
      <c r="L124" s="18">
        <v>16188</v>
      </c>
      <c r="M124" s="18">
        <v>14255</v>
      </c>
      <c r="N124" s="18">
        <v>17978</v>
      </c>
      <c r="O124" s="18">
        <v>14428</v>
      </c>
      <c r="P124" s="18">
        <v>16479</v>
      </c>
      <c r="Q124" s="18">
        <v>17634</v>
      </c>
      <c r="R124" s="18">
        <v>16126</v>
      </c>
      <c r="S124" s="32">
        <f>(R124-Q124)/R124</f>
        <v>-0.09351358055314399</v>
      </c>
      <c r="T124" s="18">
        <f>R124/100*73</f>
        <v>11771.98</v>
      </c>
      <c r="U124" s="14" t="s">
        <v>40</v>
      </c>
      <c r="V124" s="18" t="s">
        <v>325</v>
      </c>
      <c r="W124" s="14" t="s">
        <v>40</v>
      </c>
      <c r="X124" s="18" t="s">
        <v>41</v>
      </c>
      <c r="Y124" s="14" t="s">
        <v>40</v>
      </c>
      <c r="Z124" s="33" t="s">
        <v>326</v>
      </c>
      <c r="AA124" s="14" t="s">
        <v>35</v>
      </c>
      <c r="AB124" s="18">
        <v>11953</v>
      </c>
      <c r="AC124" s="14" t="s">
        <v>35</v>
      </c>
      <c r="AD124" s="18" t="s">
        <v>327</v>
      </c>
      <c r="AE124" s="18">
        <v>24</v>
      </c>
      <c r="AF124" s="18">
        <v>1081</v>
      </c>
      <c r="AG124" s="14" t="s">
        <v>40</v>
      </c>
      <c r="AH124" s="14">
        <v>22</v>
      </c>
      <c r="AI124" s="20">
        <v>910</v>
      </c>
      <c r="AJ124" s="14">
        <v>30</v>
      </c>
      <c r="AK124" s="14" t="s">
        <v>40</v>
      </c>
      <c r="AL124" s="14">
        <v>38</v>
      </c>
      <c r="AM124" s="14">
        <v>3887</v>
      </c>
      <c r="AN124" s="14" t="s">
        <v>37</v>
      </c>
      <c r="AO124" s="14">
        <v>6</v>
      </c>
      <c r="AP124" s="14">
        <v>159</v>
      </c>
      <c r="AQ124" s="14" t="s">
        <v>37</v>
      </c>
      <c r="AR124" s="14" t="s">
        <v>35</v>
      </c>
      <c r="AS124" s="34">
        <v>2.5</v>
      </c>
      <c r="AT124" s="34" t="s">
        <v>53</v>
      </c>
      <c r="AU124" s="14" t="s">
        <v>35</v>
      </c>
      <c r="AV124" s="14" t="s">
        <v>38</v>
      </c>
      <c r="AW124" s="14" t="s">
        <v>38</v>
      </c>
      <c r="AX124" s="29">
        <v>36</v>
      </c>
      <c r="AY124" s="29">
        <v>2000</v>
      </c>
      <c r="AZ124" s="29">
        <v>60</v>
      </c>
      <c r="BA124" s="29">
        <v>4150</v>
      </c>
      <c r="BB124" s="14" t="s">
        <v>42</v>
      </c>
      <c r="BC124" s="14">
        <v>19</v>
      </c>
      <c r="BD124" s="14">
        <v>4.8</v>
      </c>
      <c r="BE124" s="14" t="s">
        <v>40</v>
      </c>
      <c r="BF124" s="35" t="s">
        <v>328</v>
      </c>
      <c r="BG124" s="36">
        <f>T124/100*(44)*12.91</f>
        <v>66869.555192</v>
      </c>
      <c r="BH124" s="36">
        <f>T124/100*(56)*25.82</f>
        <v>170213.413216</v>
      </c>
      <c r="BI124" s="37">
        <f t="shared" si="6"/>
        <v>237082.968408</v>
      </c>
      <c r="BJ124" s="36">
        <v>41570</v>
      </c>
      <c r="BK124" s="37">
        <f>BJ124+BI124</f>
        <v>278652.96840799996</v>
      </c>
      <c r="BL124" s="38">
        <v>2.3975999999999997</v>
      </c>
      <c r="BM124" s="38">
        <f t="shared" si="5"/>
        <v>7.1975999999999996</v>
      </c>
      <c r="BN124" s="37">
        <v>29642.857142857145</v>
      </c>
    </row>
    <row r="125" spans="1:66" s="17" customFormat="1" ht="108.75" customHeight="1">
      <c r="A125" s="3" t="s">
        <v>329</v>
      </c>
      <c r="B125" s="2">
        <v>345</v>
      </c>
      <c r="C125" s="3" t="s">
        <v>33</v>
      </c>
      <c r="D125" s="3" t="s">
        <v>34</v>
      </c>
      <c r="E125" s="3"/>
      <c r="F125" s="11"/>
      <c r="G125" s="3" t="s">
        <v>139</v>
      </c>
      <c r="H125" s="14"/>
      <c r="I125" s="39"/>
      <c r="J125" s="39"/>
      <c r="K125" s="14"/>
      <c r="L125" s="18"/>
      <c r="M125" s="18"/>
      <c r="N125" s="18"/>
      <c r="O125" s="18"/>
      <c r="P125" s="18"/>
      <c r="Q125" s="18"/>
      <c r="R125" s="18"/>
      <c r="S125" s="32"/>
      <c r="T125" s="18"/>
      <c r="U125" s="14"/>
      <c r="V125" s="18"/>
      <c r="W125" s="14"/>
      <c r="X125" s="18"/>
      <c r="Y125" s="14"/>
      <c r="Z125" s="33"/>
      <c r="AA125" s="14" t="s">
        <v>35</v>
      </c>
      <c r="AB125" s="18"/>
      <c r="AC125" s="14"/>
      <c r="AD125" s="18"/>
      <c r="AE125" s="18"/>
      <c r="AF125" s="18"/>
      <c r="AG125" s="14"/>
      <c r="AH125" s="14"/>
      <c r="AI125" s="20"/>
      <c r="AJ125" s="14"/>
      <c r="AK125" s="14"/>
      <c r="AL125" s="14"/>
      <c r="AM125" s="14"/>
      <c r="AN125" s="14"/>
      <c r="AO125" s="14"/>
      <c r="AP125" s="14"/>
      <c r="AQ125" s="14"/>
      <c r="AR125" s="14" t="s">
        <v>38</v>
      </c>
      <c r="AS125" s="34"/>
      <c r="AT125" s="34"/>
      <c r="AU125" s="14" t="s">
        <v>35</v>
      </c>
      <c r="AV125" s="14"/>
      <c r="AW125" s="14"/>
      <c r="AX125" s="29"/>
      <c r="AY125" s="29"/>
      <c r="AZ125" s="29"/>
      <c r="BA125" s="29"/>
      <c r="BB125" s="14"/>
      <c r="BC125" s="14"/>
      <c r="BD125" s="14"/>
      <c r="BE125" s="14"/>
      <c r="BF125" s="35"/>
      <c r="BG125" s="36"/>
      <c r="BH125" s="36"/>
      <c r="BI125" s="37"/>
      <c r="BJ125" s="36"/>
      <c r="BK125" s="37"/>
      <c r="BL125" s="38"/>
      <c r="BM125" s="38">
        <f t="shared" si="5"/>
        <v>0</v>
      </c>
      <c r="BN125" s="37"/>
    </row>
    <row r="126" spans="1:66" s="17" customFormat="1" ht="45">
      <c r="A126" s="21" t="s">
        <v>330</v>
      </c>
      <c r="B126" s="15"/>
      <c r="C126" s="3" t="s">
        <v>209</v>
      </c>
      <c r="D126" s="15" t="s">
        <v>50</v>
      </c>
      <c r="E126" s="15"/>
      <c r="F126" s="15" t="s">
        <v>35</v>
      </c>
      <c r="G126" s="15" t="s">
        <v>36</v>
      </c>
      <c r="H126" s="14" t="s">
        <v>37</v>
      </c>
      <c r="I126" s="31" t="s">
        <v>466</v>
      </c>
      <c r="J126" s="31">
        <v>1985</v>
      </c>
      <c r="K126" s="14" t="s">
        <v>471</v>
      </c>
      <c r="L126" s="18"/>
      <c r="M126" s="18"/>
      <c r="N126" s="18"/>
      <c r="O126" s="18"/>
      <c r="P126" s="18"/>
      <c r="Q126" s="18"/>
      <c r="R126" s="18">
        <v>1985</v>
      </c>
      <c r="S126" s="32"/>
      <c r="T126" s="18">
        <f>R126/100*77</f>
        <v>1528.45</v>
      </c>
      <c r="U126" s="14" t="s">
        <v>42</v>
      </c>
      <c r="V126" s="18" t="s">
        <v>41</v>
      </c>
      <c r="W126" s="14" t="s">
        <v>37</v>
      </c>
      <c r="X126" s="18" t="s">
        <v>41</v>
      </c>
      <c r="Y126" s="14" t="s">
        <v>37</v>
      </c>
      <c r="Z126" s="33" t="s">
        <v>41</v>
      </c>
      <c r="AA126" s="14" t="s">
        <v>35</v>
      </c>
      <c r="AB126" s="18" t="s">
        <v>41</v>
      </c>
      <c r="AC126" s="14" t="s">
        <v>35</v>
      </c>
      <c r="AD126" s="18">
        <v>200</v>
      </c>
      <c r="AE126" s="18">
        <v>4</v>
      </c>
      <c r="AF126" s="18">
        <v>45</v>
      </c>
      <c r="AG126" s="14" t="s">
        <v>37</v>
      </c>
      <c r="AH126" s="14">
        <v>0</v>
      </c>
      <c r="AI126" s="20">
        <v>0</v>
      </c>
      <c r="AJ126" s="14">
        <v>3</v>
      </c>
      <c r="AK126" s="14" t="s">
        <v>42</v>
      </c>
      <c r="AL126" s="14">
        <v>2</v>
      </c>
      <c r="AM126" s="14">
        <v>30</v>
      </c>
      <c r="AN126" s="14" t="s">
        <v>42</v>
      </c>
      <c r="AO126" s="14" t="s">
        <v>41</v>
      </c>
      <c r="AP126" s="14" t="s">
        <v>41</v>
      </c>
      <c r="AQ126" s="14" t="s">
        <v>40</v>
      </c>
      <c r="AR126" s="14" t="s">
        <v>38</v>
      </c>
      <c r="AS126" s="34"/>
      <c r="AT126" s="34"/>
      <c r="AU126" s="14" t="s">
        <v>35</v>
      </c>
      <c r="AV126" s="14" t="s">
        <v>38</v>
      </c>
      <c r="AW126" s="14" t="s">
        <v>38</v>
      </c>
      <c r="AX126" s="29"/>
      <c r="AY126" s="29"/>
      <c r="AZ126" s="29">
        <v>35</v>
      </c>
      <c r="BA126" s="29">
        <v>1500</v>
      </c>
      <c r="BB126" s="14" t="s">
        <v>42</v>
      </c>
      <c r="BC126" s="14">
        <v>0</v>
      </c>
      <c r="BD126" s="14">
        <v>0</v>
      </c>
      <c r="BE126" s="14" t="s">
        <v>40</v>
      </c>
      <c r="BF126" s="35" t="s">
        <v>41</v>
      </c>
      <c r="BG126" s="36">
        <f>T126/100*(47)*12.86</f>
        <v>9238.25749</v>
      </c>
      <c r="BH126" s="36">
        <f>T126/100*(53)*25.73</f>
        <v>20843.319805000003</v>
      </c>
      <c r="BI126" s="37">
        <f t="shared" si="6"/>
        <v>30081.577295000003</v>
      </c>
      <c r="BJ126" s="36">
        <v>3000</v>
      </c>
      <c r="BK126" s="37">
        <f>BJ126+BI126</f>
        <v>33081.577295</v>
      </c>
      <c r="BL126" s="38">
        <v>0</v>
      </c>
      <c r="BM126" s="38">
        <f t="shared" si="5"/>
        <v>0</v>
      </c>
      <c r="BN126" s="37">
        <v>10714.285714285714</v>
      </c>
    </row>
    <row r="127" spans="1:66" s="17" customFormat="1" ht="93" customHeight="1">
      <c r="A127" s="3" t="s">
        <v>331</v>
      </c>
      <c r="B127" s="2">
        <v>1655</v>
      </c>
      <c r="C127" s="3" t="s">
        <v>60</v>
      </c>
      <c r="D127" s="3" t="s">
        <v>50</v>
      </c>
      <c r="E127" s="3"/>
      <c r="F127" s="11"/>
      <c r="G127" s="3" t="s">
        <v>62</v>
      </c>
      <c r="H127" s="14"/>
      <c r="I127" s="39"/>
      <c r="J127" s="39"/>
      <c r="K127" s="14"/>
      <c r="L127" s="18"/>
      <c r="M127" s="18"/>
      <c r="N127" s="18"/>
      <c r="O127" s="18"/>
      <c r="P127" s="18"/>
      <c r="Q127" s="18"/>
      <c r="R127" s="18"/>
      <c r="S127" s="32"/>
      <c r="T127" s="18"/>
      <c r="U127" s="14"/>
      <c r="V127" s="18"/>
      <c r="W127" s="14"/>
      <c r="X127" s="18"/>
      <c r="Y127" s="14"/>
      <c r="Z127" s="33"/>
      <c r="AA127" s="14" t="s">
        <v>35</v>
      </c>
      <c r="AB127" s="18"/>
      <c r="AC127" s="14"/>
      <c r="AD127" s="18"/>
      <c r="AE127" s="18"/>
      <c r="AF127" s="18"/>
      <c r="AG127" s="14"/>
      <c r="AH127" s="14"/>
      <c r="AI127" s="20"/>
      <c r="AJ127" s="14"/>
      <c r="AK127" s="14"/>
      <c r="AL127" s="14"/>
      <c r="AM127" s="14"/>
      <c r="AN127" s="14"/>
      <c r="AO127" s="14"/>
      <c r="AP127" s="14"/>
      <c r="AQ127" s="14"/>
      <c r="AR127" s="14" t="s">
        <v>35</v>
      </c>
      <c r="AS127" s="34">
        <v>4.1</v>
      </c>
      <c r="AT127" s="34">
        <v>2.5</v>
      </c>
      <c r="AU127" s="14" t="s">
        <v>38</v>
      </c>
      <c r="AV127" s="14"/>
      <c r="AW127" s="14"/>
      <c r="AX127" s="29"/>
      <c r="AY127" s="29"/>
      <c r="AZ127" s="29"/>
      <c r="BA127" s="29"/>
      <c r="BB127" s="14"/>
      <c r="BC127" s="14"/>
      <c r="BD127" s="14"/>
      <c r="BE127" s="14"/>
      <c r="BF127" s="35"/>
      <c r="BG127" s="36"/>
      <c r="BH127" s="36"/>
      <c r="BI127" s="37"/>
      <c r="BJ127" s="36"/>
      <c r="BK127" s="37"/>
      <c r="BL127" s="38"/>
      <c r="BM127" s="38">
        <f t="shared" si="5"/>
        <v>0</v>
      </c>
      <c r="BN127" s="37"/>
    </row>
    <row r="128" spans="1:66" s="17" customFormat="1" ht="45">
      <c r="A128" s="12" t="s">
        <v>332</v>
      </c>
      <c r="B128" s="2">
        <v>692</v>
      </c>
      <c r="C128" s="3" t="s">
        <v>33</v>
      </c>
      <c r="D128" s="16" t="s">
        <v>44</v>
      </c>
      <c r="E128" s="16"/>
      <c r="F128" s="11" t="s">
        <v>35</v>
      </c>
      <c r="G128" s="3" t="s">
        <v>139</v>
      </c>
      <c r="H128" s="14" t="s">
        <v>37</v>
      </c>
      <c r="I128" s="31" t="s">
        <v>466</v>
      </c>
      <c r="J128" s="31">
        <v>2029.5</v>
      </c>
      <c r="K128" s="14" t="s">
        <v>474</v>
      </c>
      <c r="L128" s="18">
        <v>62703</v>
      </c>
      <c r="M128" s="18">
        <v>75997</v>
      </c>
      <c r="N128" s="18">
        <v>109380</v>
      </c>
      <c r="O128" s="18">
        <v>116738</v>
      </c>
      <c r="P128" s="18">
        <v>108400</v>
      </c>
      <c r="Q128" s="18">
        <v>122828</v>
      </c>
      <c r="R128" s="18">
        <v>129758</v>
      </c>
      <c r="S128" s="32">
        <f>(R128-Q128)/R128</f>
        <v>0.05340711170024199</v>
      </c>
      <c r="T128" s="18">
        <f>R128/100*68</f>
        <v>88235.44</v>
      </c>
      <c r="U128" s="14" t="s">
        <v>37</v>
      </c>
      <c r="V128" s="18" t="s">
        <v>41</v>
      </c>
      <c r="W128" s="14" t="s">
        <v>37</v>
      </c>
      <c r="X128" s="18" t="s">
        <v>41</v>
      </c>
      <c r="Y128" s="14" t="s">
        <v>37</v>
      </c>
      <c r="Z128" s="33" t="s">
        <v>41</v>
      </c>
      <c r="AA128" s="14" t="s">
        <v>35</v>
      </c>
      <c r="AB128" s="18">
        <v>61000</v>
      </c>
      <c r="AC128" s="14" t="s">
        <v>35</v>
      </c>
      <c r="AD128" s="18">
        <v>3500</v>
      </c>
      <c r="AE128" s="18">
        <v>59</v>
      </c>
      <c r="AF128" s="18">
        <v>1857</v>
      </c>
      <c r="AG128" s="14" t="s">
        <v>40</v>
      </c>
      <c r="AH128" s="14">
        <v>63</v>
      </c>
      <c r="AI128" s="51">
        <v>1886</v>
      </c>
      <c r="AJ128" s="14">
        <v>30</v>
      </c>
      <c r="AK128" s="14" t="s">
        <v>40</v>
      </c>
      <c r="AL128" s="14">
        <v>30</v>
      </c>
      <c r="AM128" s="14">
        <v>3092</v>
      </c>
      <c r="AN128" s="14" t="s">
        <v>40</v>
      </c>
      <c r="AO128" s="14">
        <v>4</v>
      </c>
      <c r="AP128" s="14">
        <v>116</v>
      </c>
      <c r="AQ128" s="14" t="s">
        <v>40</v>
      </c>
      <c r="AR128" s="14" t="s">
        <v>38</v>
      </c>
      <c r="AS128" s="34"/>
      <c r="AT128" s="34"/>
      <c r="AU128" s="14" t="s">
        <v>35</v>
      </c>
      <c r="AV128" s="14" t="s">
        <v>38</v>
      </c>
      <c r="AW128" s="14" t="s">
        <v>38</v>
      </c>
      <c r="AX128" s="29">
        <v>10</v>
      </c>
      <c r="AY128" s="29">
        <v>1591</v>
      </c>
      <c r="AZ128" s="29">
        <v>14</v>
      </c>
      <c r="BA128" s="29">
        <v>1041</v>
      </c>
      <c r="BB128" s="14" t="s">
        <v>40</v>
      </c>
      <c r="BC128" s="14">
        <v>14</v>
      </c>
      <c r="BD128" s="14">
        <v>11</v>
      </c>
      <c r="BE128" s="14" t="s">
        <v>40</v>
      </c>
      <c r="BF128" s="35" t="s">
        <v>41</v>
      </c>
      <c r="BG128" s="36">
        <f>T128/100*(31)*17.99</f>
        <v>492080.225336</v>
      </c>
      <c r="BH128" s="36">
        <f>T128/100*(69)*35.98</f>
        <v>2190550.680528</v>
      </c>
      <c r="BI128" s="37">
        <f t="shared" si="6"/>
        <v>2682630.905864</v>
      </c>
      <c r="BJ128" s="36"/>
      <c r="BK128" s="37">
        <f>BJ128+BI128</f>
        <v>2682630.905864</v>
      </c>
      <c r="BL128" s="38">
        <v>4.640625</v>
      </c>
      <c r="BM128" s="38">
        <f t="shared" si="5"/>
        <v>15.640625</v>
      </c>
      <c r="BN128" s="37">
        <v>7435.714285714286</v>
      </c>
    </row>
    <row r="129" spans="1:66" s="17" customFormat="1" ht="62.25" customHeight="1">
      <c r="A129" s="3" t="s">
        <v>333</v>
      </c>
      <c r="B129" s="2">
        <v>1729</v>
      </c>
      <c r="C129" s="3" t="s">
        <v>33</v>
      </c>
      <c r="D129" s="3" t="s">
        <v>57</v>
      </c>
      <c r="E129" s="3"/>
      <c r="F129" s="11"/>
      <c r="G129" s="3" t="s">
        <v>55</v>
      </c>
      <c r="H129" s="14"/>
      <c r="I129" s="39"/>
      <c r="J129" s="39"/>
      <c r="K129" s="14"/>
      <c r="L129" s="18"/>
      <c r="M129" s="18"/>
      <c r="N129" s="18"/>
      <c r="O129" s="18"/>
      <c r="P129" s="18"/>
      <c r="Q129" s="18"/>
      <c r="R129" s="18"/>
      <c r="S129" s="32"/>
      <c r="T129" s="18"/>
      <c r="U129" s="14"/>
      <c r="V129" s="18"/>
      <c r="W129" s="14"/>
      <c r="X129" s="18"/>
      <c r="Y129" s="14"/>
      <c r="Z129" s="33"/>
      <c r="AA129" s="14" t="s">
        <v>35</v>
      </c>
      <c r="AB129" s="18"/>
      <c r="AC129" s="14"/>
      <c r="AD129" s="18"/>
      <c r="AE129" s="18"/>
      <c r="AF129" s="18"/>
      <c r="AG129" s="14"/>
      <c r="AH129" s="14"/>
      <c r="AI129" s="20"/>
      <c r="AJ129" s="14"/>
      <c r="AK129" s="14"/>
      <c r="AL129" s="14"/>
      <c r="AM129" s="14"/>
      <c r="AN129" s="14"/>
      <c r="AO129" s="14"/>
      <c r="AP129" s="14"/>
      <c r="AQ129" s="14"/>
      <c r="AR129" s="14" t="s">
        <v>35</v>
      </c>
      <c r="AS129" s="34">
        <v>7.5</v>
      </c>
      <c r="AT129" s="34">
        <v>3.75</v>
      </c>
      <c r="AU129" s="14" t="s">
        <v>35</v>
      </c>
      <c r="AV129" s="14"/>
      <c r="AW129" s="14"/>
      <c r="AX129" s="29"/>
      <c r="AY129" s="29"/>
      <c r="AZ129" s="29"/>
      <c r="BA129" s="29"/>
      <c r="BB129" s="14"/>
      <c r="BC129" s="14"/>
      <c r="BD129" s="14"/>
      <c r="BE129" s="14"/>
      <c r="BF129" s="35"/>
      <c r="BG129" s="36"/>
      <c r="BH129" s="36"/>
      <c r="BI129" s="37"/>
      <c r="BJ129" s="36"/>
      <c r="BK129" s="37"/>
      <c r="BL129" s="38"/>
      <c r="BM129" s="38">
        <f t="shared" si="5"/>
        <v>0</v>
      </c>
      <c r="BN129" s="37"/>
    </row>
    <row r="130" spans="1:66" s="17" customFormat="1" ht="180">
      <c r="A130" s="3" t="s">
        <v>334</v>
      </c>
      <c r="B130" s="2">
        <v>1472</v>
      </c>
      <c r="C130" s="3" t="s">
        <v>33</v>
      </c>
      <c r="D130" s="10" t="s">
        <v>34</v>
      </c>
      <c r="E130" s="10"/>
      <c r="F130" s="11" t="s">
        <v>35</v>
      </c>
      <c r="G130" s="3" t="s">
        <v>36</v>
      </c>
      <c r="H130" s="14" t="s">
        <v>36</v>
      </c>
      <c r="I130" s="31" t="s">
        <v>469</v>
      </c>
      <c r="J130" s="31">
        <v>1600</v>
      </c>
      <c r="K130" s="14" t="s">
        <v>472</v>
      </c>
      <c r="L130" s="18"/>
      <c r="M130" s="18"/>
      <c r="N130" s="18">
        <v>15006</v>
      </c>
      <c r="O130" s="18">
        <v>16124</v>
      </c>
      <c r="P130" s="18">
        <v>17893</v>
      </c>
      <c r="Q130" s="18">
        <v>18621</v>
      </c>
      <c r="R130" s="18">
        <v>14593</v>
      </c>
      <c r="S130" s="32">
        <f>(R130-Q130)/R130</f>
        <v>-0.27602275063386555</v>
      </c>
      <c r="T130" s="18">
        <f>R130/100*73</f>
        <v>10652.890000000001</v>
      </c>
      <c r="U130" s="14" t="s">
        <v>40</v>
      </c>
      <c r="V130" s="18">
        <v>12217</v>
      </c>
      <c r="W130" s="14" t="s">
        <v>40</v>
      </c>
      <c r="X130" s="18">
        <v>2191</v>
      </c>
      <c r="Y130" s="14" t="s">
        <v>40</v>
      </c>
      <c r="Z130" s="33" t="s">
        <v>335</v>
      </c>
      <c r="AA130" s="14" t="s">
        <v>35</v>
      </c>
      <c r="AB130" s="18">
        <v>9817</v>
      </c>
      <c r="AC130" s="14" t="s">
        <v>35</v>
      </c>
      <c r="AD130" s="18">
        <v>1464</v>
      </c>
      <c r="AE130" s="18">
        <v>21</v>
      </c>
      <c r="AF130" s="18">
        <v>579</v>
      </c>
      <c r="AG130" s="14" t="s">
        <v>40</v>
      </c>
      <c r="AH130" s="14">
        <v>0</v>
      </c>
      <c r="AI130" s="20">
        <v>0</v>
      </c>
      <c r="AJ130" s="14">
        <v>16</v>
      </c>
      <c r="AK130" s="14" t="s">
        <v>40</v>
      </c>
      <c r="AL130" s="14">
        <v>4</v>
      </c>
      <c r="AM130" s="14">
        <v>90</v>
      </c>
      <c r="AN130" s="14" t="s">
        <v>42</v>
      </c>
      <c r="AO130" s="14">
        <v>0</v>
      </c>
      <c r="AP130" s="14">
        <v>0</v>
      </c>
      <c r="AQ130" s="14" t="s">
        <v>40</v>
      </c>
      <c r="AR130" s="14" t="s">
        <v>35</v>
      </c>
      <c r="AS130" s="34">
        <v>3.7</v>
      </c>
      <c r="AT130" s="34">
        <v>2</v>
      </c>
      <c r="AU130" s="14" t="s">
        <v>35</v>
      </c>
      <c r="AV130" s="14" t="s">
        <v>38</v>
      </c>
      <c r="AW130" s="14" t="s">
        <v>38</v>
      </c>
      <c r="AX130" s="29">
        <v>47</v>
      </c>
      <c r="AY130" s="29">
        <v>4500</v>
      </c>
      <c r="AZ130" s="29">
        <v>45</v>
      </c>
      <c r="BA130" s="29">
        <v>20000</v>
      </c>
      <c r="BB130" s="14" t="s">
        <v>42</v>
      </c>
      <c r="BC130" s="14">
        <v>2</v>
      </c>
      <c r="BD130" s="14">
        <v>1.2</v>
      </c>
      <c r="BE130" s="14" t="s">
        <v>40</v>
      </c>
      <c r="BF130" s="35" t="s">
        <v>336</v>
      </c>
      <c r="BG130" s="36">
        <f>T130/100*(44)*14.08</f>
        <v>65996.784128</v>
      </c>
      <c r="BH130" s="36">
        <f>T130/100*(56)*28.16</f>
        <v>167991.814144</v>
      </c>
      <c r="BI130" s="37">
        <f t="shared" si="6"/>
        <v>233988.598272</v>
      </c>
      <c r="BJ130" s="36"/>
      <c r="BK130" s="37">
        <f>BJ130+BI130</f>
        <v>233988.598272</v>
      </c>
      <c r="BL130" s="38">
        <v>0.5993999999999999</v>
      </c>
      <c r="BM130" s="38">
        <f t="shared" si="5"/>
        <v>1.7993999999999999</v>
      </c>
      <c r="BN130" s="37">
        <v>142857.14285714287</v>
      </c>
    </row>
    <row r="131" spans="1:66" s="17" customFormat="1" ht="78" customHeight="1">
      <c r="A131" s="3" t="s">
        <v>337</v>
      </c>
      <c r="B131" s="2">
        <v>656</v>
      </c>
      <c r="C131" s="3" t="s">
        <v>33</v>
      </c>
      <c r="D131" s="3" t="s">
        <v>61</v>
      </c>
      <c r="E131" s="3" t="s">
        <v>66</v>
      </c>
      <c r="F131" s="11" t="s">
        <v>35</v>
      </c>
      <c r="G131" s="3" t="s">
        <v>67</v>
      </c>
      <c r="H131" s="8" t="s">
        <v>67</v>
      </c>
      <c r="I131" s="40" t="s">
        <v>465</v>
      </c>
      <c r="J131" s="40" t="s">
        <v>445</v>
      </c>
      <c r="K131" s="8" t="s">
        <v>471</v>
      </c>
      <c r="L131" s="18"/>
      <c r="M131" s="18"/>
      <c r="N131" s="18"/>
      <c r="O131" s="18"/>
      <c r="P131" s="18">
        <v>7501</v>
      </c>
      <c r="Q131" s="18">
        <v>7581</v>
      </c>
      <c r="R131" s="18">
        <v>7556</v>
      </c>
      <c r="S131" s="32">
        <f>(R131-Q131)/R131</f>
        <v>-0.003308628904182107</v>
      </c>
      <c r="T131" s="18">
        <f>R131/100*77</f>
        <v>5818.12</v>
      </c>
      <c r="U131" s="8" t="s">
        <v>40</v>
      </c>
      <c r="V131" s="18" t="s">
        <v>46</v>
      </c>
      <c r="W131" s="8" t="s">
        <v>37</v>
      </c>
      <c r="X131" s="18" t="s">
        <v>46</v>
      </c>
      <c r="Y131" s="8" t="s">
        <v>37</v>
      </c>
      <c r="Z131" s="41" t="s">
        <v>38</v>
      </c>
      <c r="AA131" s="8" t="s">
        <v>35</v>
      </c>
      <c r="AB131" s="18" t="s">
        <v>37</v>
      </c>
      <c r="AC131" s="8" t="s">
        <v>35</v>
      </c>
      <c r="AD131" s="18" t="s">
        <v>37</v>
      </c>
      <c r="AE131" s="18">
        <v>6</v>
      </c>
      <c r="AF131" s="18">
        <v>196</v>
      </c>
      <c r="AG131" s="8" t="s">
        <v>40</v>
      </c>
      <c r="AH131" s="8" t="s">
        <v>37</v>
      </c>
      <c r="AI131" s="42" t="s">
        <v>37</v>
      </c>
      <c r="AJ131" s="8" t="s">
        <v>37</v>
      </c>
      <c r="AK131" s="8" t="s">
        <v>37</v>
      </c>
      <c r="AL131" s="8" t="s">
        <v>37</v>
      </c>
      <c r="AM131" s="8" t="s">
        <v>37</v>
      </c>
      <c r="AN131" s="8" t="s">
        <v>37</v>
      </c>
      <c r="AO131" s="8" t="s">
        <v>37</v>
      </c>
      <c r="AP131" s="8" t="s">
        <v>37</v>
      </c>
      <c r="AQ131" s="8" t="s">
        <v>37</v>
      </c>
      <c r="AR131" s="8" t="s">
        <v>38</v>
      </c>
      <c r="AS131" s="34"/>
      <c r="AT131" s="34"/>
      <c r="AU131" s="8" t="s">
        <v>35</v>
      </c>
      <c r="AV131" s="8" t="s">
        <v>35</v>
      </c>
      <c r="AW131" s="8" t="s">
        <v>38</v>
      </c>
      <c r="AX131" s="29"/>
      <c r="AY131" s="29"/>
      <c r="AZ131" s="29" t="s">
        <v>444</v>
      </c>
      <c r="BA131" s="29" t="s">
        <v>444</v>
      </c>
      <c r="BB131" s="8" t="s">
        <v>37</v>
      </c>
      <c r="BC131" s="8" t="s">
        <v>444</v>
      </c>
      <c r="BD131" s="8" t="s">
        <v>444</v>
      </c>
      <c r="BE131" s="8" t="s">
        <v>37</v>
      </c>
      <c r="BF131" s="43" t="s">
        <v>37</v>
      </c>
      <c r="BG131" s="36">
        <f>T131/100*(47)*12.91</f>
        <v>35302.606724</v>
      </c>
      <c r="BH131" s="36">
        <f>T131/100*(53)*25.82</f>
        <v>79618.644952</v>
      </c>
      <c r="BI131" s="37">
        <f aca="true" t="shared" si="9" ref="BI131:BI174">BG131+BH131</f>
        <v>114921.251676</v>
      </c>
      <c r="BJ131" s="36"/>
      <c r="BK131" s="37">
        <f>BJ131+BI131</f>
        <v>114921.251676</v>
      </c>
      <c r="BL131" s="44"/>
      <c r="BM131" s="38"/>
      <c r="BN131" s="37"/>
    </row>
    <row r="132" spans="1:66" s="17" customFormat="1" ht="78" customHeight="1">
      <c r="A132" s="3" t="s">
        <v>338</v>
      </c>
      <c r="B132" s="2">
        <v>653</v>
      </c>
      <c r="C132" s="3" t="s">
        <v>33</v>
      </c>
      <c r="D132" s="3" t="s">
        <v>61</v>
      </c>
      <c r="E132" s="3" t="s">
        <v>66</v>
      </c>
      <c r="F132" s="11" t="s">
        <v>35</v>
      </c>
      <c r="G132" s="3" t="s">
        <v>67</v>
      </c>
      <c r="H132" s="8" t="s">
        <v>67</v>
      </c>
      <c r="I132" s="40" t="s">
        <v>465</v>
      </c>
      <c r="J132" s="40" t="s">
        <v>443</v>
      </c>
      <c r="K132" s="8" t="s">
        <v>472</v>
      </c>
      <c r="L132" s="18"/>
      <c r="M132" s="18"/>
      <c r="N132" s="18"/>
      <c r="O132" s="18"/>
      <c r="P132" s="18">
        <v>21734</v>
      </c>
      <c r="Q132" s="18">
        <v>15402</v>
      </c>
      <c r="R132" s="18">
        <v>14366</v>
      </c>
      <c r="S132" s="32">
        <f>(R132-Q132)/R132</f>
        <v>-0.07211471530001393</v>
      </c>
      <c r="T132" s="18">
        <f>R132/100*73</f>
        <v>10487.18</v>
      </c>
      <c r="U132" s="8" t="s">
        <v>40</v>
      </c>
      <c r="V132" s="18" t="s">
        <v>46</v>
      </c>
      <c r="W132" s="8" t="s">
        <v>37</v>
      </c>
      <c r="X132" s="18" t="s">
        <v>46</v>
      </c>
      <c r="Y132" s="8" t="s">
        <v>37</v>
      </c>
      <c r="Z132" s="41" t="s">
        <v>38</v>
      </c>
      <c r="AA132" s="8" t="s">
        <v>35</v>
      </c>
      <c r="AB132" s="18" t="s">
        <v>446</v>
      </c>
      <c r="AC132" s="8" t="s">
        <v>35</v>
      </c>
      <c r="AD132" s="18">
        <v>4416</v>
      </c>
      <c r="AE132" s="18">
        <v>43</v>
      </c>
      <c r="AF132" s="18">
        <v>1237</v>
      </c>
      <c r="AG132" s="8" t="s">
        <v>40</v>
      </c>
      <c r="AH132" s="8">
        <v>20</v>
      </c>
      <c r="AI132" s="42">
        <v>1411</v>
      </c>
      <c r="AJ132" s="8">
        <v>65</v>
      </c>
      <c r="AK132" s="8" t="s">
        <v>42</v>
      </c>
      <c r="AL132" s="8">
        <v>21</v>
      </c>
      <c r="AM132" s="8">
        <v>1087</v>
      </c>
      <c r="AN132" s="8" t="s">
        <v>42</v>
      </c>
      <c r="AO132" s="8">
        <v>20</v>
      </c>
      <c r="AP132" s="8">
        <v>1000</v>
      </c>
      <c r="AQ132" s="8" t="s">
        <v>42</v>
      </c>
      <c r="AR132" s="8" t="s">
        <v>38</v>
      </c>
      <c r="AS132" s="34"/>
      <c r="AT132" s="34"/>
      <c r="AU132" s="8" t="s">
        <v>35</v>
      </c>
      <c r="AV132" s="8" t="s">
        <v>35</v>
      </c>
      <c r="AW132" s="8" t="s">
        <v>38</v>
      </c>
      <c r="AX132" s="29">
        <v>38</v>
      </c>
      <c r="AY132" s="29">
        <v>2362.5</v>
      </c>
      <c r="AZ132" s="29">
        <v>42</v>
      </c>
      <c r="BA132" s="29">
        <v>3307.5</v>
      </c>
      <c r="BB132" s="8" t="s">
        <v>37</v>
      </c>
      <c r="BC132" s="8">
        <v>21</v>
      </c>
      <c r="BD132" s="8">
        <v>12</v>
      </c>
      <c r="BE132" s="8" t="s">
        <v>37</v>
      </c>
      <c r="BF132" s="43" t="s">
        <v>37</v>
      </c>
      <c r="BG132" s="36">
        <f>T132/100*(44)*12.91</f>
        <v>59571.37727200001</v>
      </c>
      <c r="BH132" s="36">
        <f>T132/100*(56)*25.82</f>
        <v>151636.23305600003</v>
      </c>
      <c r="BI132" s="37">
        <f t="shared" si="9"/>
        <v>211207.61032800004</v>
      </c>
      <c r="BJ132" s="36">
        <v>545501.8900000001</v>
      </c>
      <c r="BK132" s="37">
        <f>BJ132+BI132</f>
        <v>756709.5003280002</v>
      </c>
      <c r="BL132" s="44">
        <v>5.994</v>
      </c>
      <c r="BM132" s="38">
        <f aca="true" t="shared" si="10" ref="BM132:BM176">BL132+BD132</f>
        <v>17.994</v>
      </c>
      <c r="BN132" s="37">
        <v>23625</v>
      </c>
    </row>
    <row r="133" spans="1:66" s="17" customFormat="1" ht="62.25" customHeight="1">
      <c r="A133" s="3" t="s">
        <v>339</v>
      </c>
      <c r="B133" s="2">
        <v>490</v>
      </c>
      <c r="C133" s="3" t="s">
        <v>33</v>
      </c>
      <c r="D133" s="3" t="s">
        <v>61</v>
      </c>
      <c r="E133" s="3"/>
      <c r="F133" s="3"/>
      <c r="G133" s="3" t="s">
        <v>36</v>
      </c>
      <c r="H133" s="14"/>
      <c r="I133" s="39"/>
      <c r="J133" s="39"/>
      <c r="K133" s="14"/>
      <c r="L133" s="18"/>
      <c r="M133" s="18"/>
      <c r="N133" s="18"/>
      <c r="O133" s="18"/>
      <c r="P133" s="18"/>
      <c r="Q133" s="18"/>
      <c r="R133" s="18"/>
      <c r="S133" s="32"/>
      <c r="T133" s="18"/>
      <c r="U133" s="14"/>
      <c r="V133" s="18"/>
      <c r="W133" s="14"/>
      <c r="X133" s="18"/>
      <c r="Y133" s="14"/>
      <c r="Z133" s="33"/>
      <c r="AA133" s="14" t="s">
        <v>35</v>
      </c>
      <c r="AB133" s="18"/>
      <c r="AC133" s="14"/>
      <c r="AD133" s="18"/>
      <c r="AE133" s="18"/>
      <c r="AF133" s="18"/>
      <c r="AG133" s="14"/>
      <c r="AH133" s="14"/>
      <c r="AI133" s="20"/>
      <c r="AJ133" s="14"/>
      <c r="AK133" s="14"/>
      <c r="AL133" s="14"/>
      <c r="AM133" s="14"/>
      <c r="AN133" s="14"/>
      <c r="AO133" s="14"/>
      <c r="AP133" s="14"/>
      <c r="AQ133" s="14"/>
      <c r="AR133" s="14" t="s">
        <v>35</v>
      </c>
      <c r="AS133" s="34">
        <v>1.5</v>
      </c>
      <c r="AT133" s="34">
        <v>0.5</v>
      </c>
      <c r="AU133" s="14" t="s">
        <v>35</v>
      </c>
      <c r="AV133" s="14"/>
      <c r="AW133" s="14"/>
      <c r="AX133" s="29"/>
      <c r="AY133" s="29"/>
      <c r="AZ133" s="29"/>
      <c r="BA133" s="29"/>
      <c r="BB133" s="14"/>
      <c r="BC133" s="14"/>
      <c r="BD133" s="14"/>
      <c r="BE133" s="14"/>
      <c r="BF133" s="35"/>
      <c r="BG133" s="36"/>
      <c r="BH133" s="36"/>
      <c r="BI133" s="37"/>
      <c r="BJ133" s="36"/>
      <c r="BK133" s="37"/>
      <c r="BL133" s="38"/>
      <c r="BM133" s="38">
        <f t="shared" si="10"/>
        <v>0</v>
      </c>
      <c r="BN133" s="37"/>
    </row>
    <row r="134" spans="1:66" s="17" customFormat="1" ht="45">
      <c r="A134" s="13" t="s">
        <v>340</v>
      </c>
      <c r="B134" s="2">
        <v>808</v>
      </c>
      <c r="C134" s="3" t="s">
        <v>33</v>
      </c>
      <c r="D134" s="10" t="s">
        <v>50</v>
      </c>
      <c r="E134" s="10"/>
      <c r="F134" s="11" t="s">
        <v>35</v>
      </c>
      <c r="G134" s="3" t="s">
        <v>36</v>
      </c>
      <c r="H134" s="14" t="s">
        <v>36</v>
      </c>
      <c r="I134" s="31" t="s">
        <v>466</v>
      </c>
      <c r="J134" s="31">
        <v>424</v>
      </c>
      <c r="K134" s="14" t="s">
        <v>471</v>
      </c>
      <c r="L134" s="18">
        <v>7235</v>
      </c>
      <c r="M134" s="18">
        <v>7517</v>
      </c>
      <c r="N134" s="18">
        <v>6143</v>
      </c>
      <c r="O134" s="18"/>
      <c r="P134" s="18">
        <v>4278</v>
      </c>
      <c r="Q134" s="18">
        <v>3390</v>
      </c>
      <c r="R134" s="18">
        <v>5065</v>
      </c>
      <c r="S134" s="32">
        <f>(R134-Q134)/R134</f>
        <v>0.33070088845014806</v>
      </c>
      <c r="T134" s="18">
        <f>R134/100*77</f>
        <v>3900.0499999999997</v>
      </c>
      <c r="U134" s="14" t="s">
        <v>40</v>
      </c>
      <c r="V134" s="18">
        <v>4587</v>
      </c>
      <c r="W134" s="14" t="s">
        <v>40</v>
      </c>
      <c r="X134" s="18">
        <v>478</v>
      </c>
      <c r="Y134" s="14" t="s">
        <v>40</v>
      </c>
      <c r="Z134" s="33" t="s">
        <v>37</v>
      </c>
      <c r="AA134" s="14" t="s">
        <v>35</v>
      </c>
      <c r="AB134" s="18" t="s">
        <v>37</v>
      </c>
      <c r="AC134" s="14" t="s">
        <v>38</v>
      </c>
      <c r="AD134" s="18" t="s">
        <v>37</v>
      </c>
      <c r="AE134" s="18">
        <v>3</v>
      </c>
      <c r="AF134" s="18">
        <v>81</v>
      </c>
      <c r="AG134" s="14" t="s">
        <v>40</v>
      </c>
      <c r="AH134" s="14">
        <v>3</v>
      </c>
      <c r="AI134" s="20">
        <v>55</v>
      </c>
      <c r="AJ134" s="14">
        <v>6</v>
      </c>
      <c r="AK134" s="14" t="s">
        <v>40</v>
      </c>
      <c r="AL134" s="14">
        <v>1</v>
      </c>
      <c r="AM134" s="14">
        <v>20</v>
      </c>
      <c r="AN134" s="14" t="s">
        <v>40</v>
      </c>
      <c r="AO134" s="14">
        <v>0</v>
      </c>
      <c r="AP134" s="14" t="s">
        <v>37</v>
      </c>
      <c r="AQ134" s="14" t="s">
        <v>40</v>
      </c>
      <c r="AR134" s="14" t="s">
        <v>38</v>
      </c>
      <c r="AS134" s="34"/>
      <c r="AT134" s="34"/>
      <c r="AU134" s="14" t="s">
        <v>35</v>
      </c>
      <c r="AV134" s="14" t="s">
        <v>38</v>
      </c>
      <c r="AW134" s="14" t="s">
        <v>38</v>
      </c>
      <c r="AX134" s="29">
        <v>50</v>
      </c>
      <c r="AY134" s="29"/>
      <c r="AZ134" s="29">
        <v>61</v>
      </c>
      <c r="BA134" s="29">
        <v>1520</v>
      </c>
      <c r="BB134" s="14" t="s">
        <v>42</v>
      </c>
      <c r="BC134" s="14">
        <v>0</v>
      </c>
      <c r="BD134" s="14">
        <v>0</v>
      </c>
      <c r="BE134" s="14" t="s">
        <v>40</v>
      </c>
      <c r="BF134" s="35" t="s">
        <v>37</v>
      </c>
      <c r="BG134" s="36">
        <f>T134/100*(47)*12.86</f>
        <v>23572.682209999995</v>
      </c>
      <c r="BH134" s="36">
        <f>T134/100*(53)*25.73</f>
        <v>53184.591845</v>
      </c>
      <c r="BI134" s="37">
        <f t="shared" si="9"/>
        <v>76757.274055</v>
      </c>
      <c r="BJ134" s="36">
        <v>15789</v>
      </c>
      <c r="BK134" s="37">
        <f aca="true" t="shared" si="11" ref="BK134:BK139">BJ134+BI134</f>
        <v>92546.274055</v>
      </c>
      <c r="BL134" s="38">
        <v>0</v>
      </c>
      <c r="BM134" s="38">
        <f t="shared" si="10"/>
        <v>0</v>
      </c>
      <c r="BN134" s="37">
        <v>10857.142857142857</v>
      </c>
    </row>
    <row r="135" spans="1:66" s="17" customFormat="1" ht="75">
      <c r="A135" s="3" t="s">
        <v>341</v>
      </c>
      <c r="B135" s="2">
        <v>1668</v>
      </c>
      <c r="C135" s="3" t="s">
        <v>33</v>
      </c>
      <c r="D135" s="16" t="s">
        <v>44</v>
      </c>
      <c r="E135" s="16"/>
      <c r="F135" s="11" t="s">
        <v>35</v>
      </c>
      <c r="G135" s="3" t="s">
        <v>36</v>
      </c>
      <c r="H135" s="8" t="s">
        <v>37</v>
      </c>
      <c r="I135" s="31" t="s">
        <v>466</v>
      </c>
      <c r="J135" s="31">
        <v>230</v>
      </c>
      <c r="K135" s="14" t="s">
        <v>471</v>
      </c>
      <c r="L135" s="18"/>
      <c r="M135" s="18"/>
      <c r="N135" s="18"/>
      <c r="O135" s="18"/>
      <c r="P135" s="18">
        <v>8251</v>
      </c>
      <c r="Q135" s="18">
        <v>10483</v>
      </c>
      <c r="R135" s="18">
        <v>6051</v>
      </c>
      <c r="S135" s="32">
        <f>(R135-Q135)/R135</f>
        <v>-0.7324409188563874</v>
      </c>
      <c r="T135" s="18">
        <f>R135/100*77</f>
        <v>4659.2699999999995</v>
      </c>
      <c r="U135" s="8" t="s">
        <v>37</v>
      </c>
      <c r="V135" s="18">
        <v>4364</v>
      </c>
      <c r="W135" s="8" t="s">
        <v>42</v>
      </c>
      <c r="X135" s="18">
        <v>1687</v>
      </c>
      <c r="Y135" s="8" t="s">
        <v>42</v>
      </c>
      <c r="Z135" s="41" t="s">
        <v>447</v>
      </c>
      <c r="AA135" s="8" t="s">
        <v>35</v>
      </c>
      <c r="AB135" s="18" t="s">
        <v>141</v>
      </c>
      <c r="AC135" s="8" t="s">
        <v>35</v>
      </c>
      <c r="AD135" s="18">
        <v>1363</v>
      </c>
      <c r="AE135" s="18">
        <v>15</v>
      </c>
      <c r="AF135" s="18">
        <v>450</v>
      </c>
      <c r="AG135" s="8" t="s">
        <v>40</v>
      </c>
      <c r="AH135" s="8">
        <v>16</v>
      </c>
      <c r="AI135" s="42">
        <v>480</v>
      </c>
      <c r="AJ135" s="8">
        <v>8</v>
      </c>
      <c r="AK135" s="8" t="s">
        <v>37</v>
      </c>
      <c r="AL135" s="8">
        <v>47</v>
      </c>
      <c r="AM135" s="8">
        <v>1750</v>
      </c>
      <c r="AN135" s="8" t="s">
        <v>42</v>
      </c>
      <c r="AO135" s="8">
        <v>32</v>
      </c>
      <c r="AP135" s="8">
        <v>1535</v>
      </c>
      <c r="AQ135" s="8" t="s">
        <v>42</v>
      </c>
      <c r="AR135" s="8" t="s">
        <v>35</v>
      </c>
      <c r="AS135" s="34">
        <v>3</v>
      </c>
      <c r="AT135" s="34">
        <v>1</v>
      </c>
      <c r="AU135" s="8" t="s">
        <v>35</v>
      </c>
      <c r="AV135" s="8" t="s">
        <v>38</v>
      </c>
      <c r="AW135" s="8" t="s">
        <v>38</v>
      </c>
      <c r="AX135" s="29">
        <v>50</v>
      </c>
      <c r="AY135" s="29">
        <v>750</v>
      </c>
      <c r="AZ135" s="29"/>
      <c r="BA135" s="29"/>
      <c r="BB135" s="8" t="s">
        <v>37</v>
      </c>
      <c r="BC135" s="8" t="s">
        <v>46</v>
      </c>
      <c r="BD135" s="8" t="s">
        <v>46</v>
      </c>
      <c r="BE135" s="8" t="s">
        <v>37</v>
      </c>
      <c r="BF135" s="43" t="s">
        <v>37</v>
      </c>
      <c r="BG135" s="36">
        <f>T135/100*(47)*17.99</f>
        <v>39395.52563099999</v>
      </c>
      <c r="BH135" s="36">
        <f>T135/100*(53)*35.98</f>
        <v>88849.48333799998</v>
      </c>
      <c r="BI135" s="37">
        <f t="shared" si="9"/>
        <v>128245.00896899996</v>
      </c>
      <c r="BJ135" s="36">
        <v>45063</v>
      </c>
      <c r="BK135" s="37">
        <f t="shared" si="11"/>
        <v>173308.00896899996</v>
      </c>
      <c r="BL135" s="44"/>
      <c r="BM135" s="38"/>
      <c r="BN135" s="37"/>
    </row>
    <row r="136" spans="1:66" s="17" customFormat="1" ht="105">
      <c r="A136" s="3" t="s">
        <v>342</v>
      </c>
      <c r="B136" s="2">
        <v>2331</v>
      </c>
      <c r="C136" s="3" t="s">
        <v>33</v>
      </c>
      <c r="D136" s="10" t="s">
        <v>34</v>
      </c>
      <c r="E136" s="10"/>
      <c r="F136" s="11" t="s">
        <v>35</v>
      </c>
      <c r="G136" s="3" t="s">
        <v>36</v>
      </c>
      <c r="H136" s="14" t="s">
        <v>37</v>
      </c>
      <c r="I136" s="31" t="s">
        <v>465</v>
      </c>
      <c r="J136" s="31" t="s">
        <v>343</v>
      </c>
      <c r="K136" s="14" t="s">
        <v>471</v>
      </c>
      <c r="L136" s="18"/>
      <c r="M136" s="18"/>
      <c r="N136" s="18"/>
      <c r="O136" s="18"/>
      <c r="P136" s="18"/>
      <c r="Q136" s="18"/>
      <c r="R136" s="18">
        <v>6500</v>
      </c>
      <c r="S136" s="32"/>
      <c r="T136" s="18">
        <f>R136/100*77</f>
        <v>5005</v>
      </c>
      <c r="U136" s="14" t="s">
        <v>42</v>
      </c>
      <c r="V136" s="18">
        <v>5000</v>
      </c>
      <c r="W136" s="14" t="s">
        <v>42</v>
      </c>
      <c r="X136" s="18">
        <v>1500</v>
      </c>
      <c r="Y136" s="14" t="s">
        <v>42</v>
      </c>
      <c r="Z136" s="33" t="s">
        <v>41</v>
      </c>
      <c r="AA136" s="14" t="s">
        <v>35</v>
      </c>
      <c r="AB136" s="18" t="s">
        <v>41</v>
      </c>
      <c r="AC136" s="14" t="s">
        <v>38</v>
      </c>
      <c r="AD136" s="18" t="s">
        <v>46</v>
      </c>
      <c r="AE136" s="18">
        <v>30</v>
      </c>
      <c r="AF136" s="18">
        <v>30</v>
      </c>
      <c r="AG136" s="14" t="s">
        <v>42</v>
      </c>
      <c r="AH136" s="14">
        <v>0</v>
      </c>
      <c r="AI136" s="20">
        <v>0</v>
      </c>
      <c r="AJ136" s="14" t="s">
        <v>344</v>
      </c>
      <c r="AK136" s="14" t="s">
        <v>42</v>
      </c>
      <c r="AL136" s="14">
        <v>0</v>
      </c>
      <c r="AM136" s="14">
        <v>0</v>
      </c>
      <c r="AN136" s="14" t="s">
        <v>40</v>
      </c>
      <c r="AO136" s="14">
        <v>0</v>
      </c>
      <c r="AP136" s="14">
        <v>0</v>
      </c>
      <c r="AQ136" s="14" t="s">
        <v>40</v>
      </c>
      <c r="AR136" s="14" t="s">
        <v>38</v>
      </c>
      <c r="AS136" s="34"/>
      <c r="AT136" s="34"/>
      <c r="AU136" s="14" t="s">
        <v>35</v>
      </c>
      <c r="AV136" s="14" t="s">
        <v>38</v>
      </c>
      <c r="AW136" s="14" t="s">
        <v>38</v>
      </c>
      <c r="AX136" s="29"/>
      <c r="AY136" s="29"/>
      <c r="AZ136" s="29">
        <v>25</v>
      </c>
      <c r="BA136" s="29">
        <v>2917</v>
      </c>
      <c r="BB136" s="14" t="s">
        <v>40</v>
      </c>
      <c r="BC136" s="14">
        <v>0</v>
      </c>
      <c r="BD136" s="14">
        <v>0</v>
      </c>
      <c r="BE136" s="14" t="s">
        <v>40</v>
      </c>
      <c r="BF136" s="35" t="s">
        <v>345</v>
      </c>
      <c r="BG136" s="36">
        <f>T136/100*(47)*14.08</f>
        <v>33121.087999999996</v>
      </c>
      <c r="BH136" s="36">
        <f>T136/100*(53)*28.16</f>
        <v>74698.624</v>
      </c>
      <c r="BI136" s="37">
        <f t="shared" si="9"/>
        <v>107819.712</v>
      </c>
      <c r="BJ136" s="36"/>
      <c r="BK136" s="37">
        <f t="shared" si="11"/>
        <v>107819.712</v>
      </c>
      <c r="BL136" s="38">
        <v>0</v>
      </c>
      <c r="BM136" s="38">
        <f t="shared" si="10"/>
        <v>0</v>
      </c>
      <c r="BN136" s="37">
        <v>20835.714285714286</v>
      </c>
    </row>
    <row r="137" spans="1:66" s="17" customFormat="1" ht="165">
      <c r="A137" s="12" t="s">
        <v>346</v>
      </c>
      <c r="B137" s="2">
        <v>574</v>
      </c>
      <c r="C137" s="3" t="s">
        <v>33</v>
      </c>
      <c r="D137" s="16" t="s">
        <v>44</v>
      </c>
      <c r="E137" s="16"/>
      <c r="F137" s="11" t="s">
        <v>35</v>
      </c>
      <c r="G137" s="3" t="s">
        <v>36</v>
      </c>
      <c r="H137" s="14" t="s">
        <v>36</v>
      </c>
      <c r="I137" s="31" t="s">
        <v>465</v>
      </c>
      <c r="J137" s="31">
        <v>2244</v>
      </c>
      <c r="K137" s="14" t="s">
        <v>472</v>
      </c>
      <c r="L137" s="18">
        <v>15892</v>
      </c>
      <c r="M137" s="18">
        <v>14545</v>
      </c>
      <c r="N137" s="18">
        <v>17777</v>
      </c>
      <c r="O137" s="18">
        <v>18110</v>
      </c>
      <c r="P137" s="18">
        <v>15406</v>
      </c>
      <c r="Q137" s="18">
        <v>17937</v>
      </c>
      <c r="R137" s="18">
        <v>23747</v>
      </c>
      <c r="S137" s="32">
        <f>(R137-Q137)/R137</f>
        <v>0.24466248368214932</v>
      </c>
      <c r="T137" s="18">
        <f>R137/100*73</f>
        <v>17335.31</v>
      </c>
      <c r="U137" s="14" t="s">
        <v>40</v>
      </c>
      <c r="V137" s="18">
        <v>20484</v>
      </c>
      <c r="W137" s="14" t="s">
        <v>40</v>
      </c>
      <c r="X137" s="18">
        <v>3203</v>
      </c>
      <c r="Y137" s="14" t="s">
        <v>40</v>
      </c>
      <c r="Z137" s="33" t="s">
        <v>37</v>
      </c>
      <c r="AA137" s="14" t="s">
        <v>35</v>
      </c>
      <c r="AB137" s="18" t="s">
        <v>37</v>
      </c>
      <c r="AC137" s="14" t="s">
        <v>35</v>
      </c>
      <c r="AD137" s="18">
        <v>2</v>
      </c>
      <c r="AE137" s="18">
        <v>86</v>
      </c>
      <c r="AF137" s="18">
        <v>1706</v>
      </c>
      <c r="AG137" s="14" t="s">
        <v>40</v>
      </c>
      <c r="AH137" s="14">
        <v>5</v>
      </c>
      <c r="AI137" s="20">
        <v>250</v>
      </c>
      <c r="AJ137" s="14">
        <v>38</v>
      </c>
      <c r="AK137" s="14" t="s">
        <v>42</v>
      </c>
      <c r="AL137" s="14" t="s">
        <v>37</v>
      </c>
      <c r="AM137" s="14" t="s">
        <v>37</v>
      </c>
      <c r="AN137" s="14" t="s">
        <v>42</v>
      </c>
      <c r="AO137" s="14" t="s">
        <v>37</v>
      </c>
      <c r="AP137" s="14" t="s">
        <v>37</v>
      </c>
      <c r="AQ137" s="14" t="s">
        <v>37</v>
      </c>
      <c r="AR137" s="14" t="s">
        <v>35</v>
      </c>
      <c r="AS137" s="34">
        <v>4.5</v>
      </c>
      <c r="AT137" s="34" t="s">
        <v>53</v>
      </c>
      <c r="AU137" s="14" t="s">
        <v>35</v>
      </c>
      <c r="AV137" s="14" t="s">
        <v>38</v>
      </c>
      <c r="AW137" s="14" t="s">
        <v>38</v>
      </c>
      <c r="AX137" s="29">
        <v>25</v>
      </c>
      <c r="AY137" s="29">
        <v>4000</v>
      </c>
      <c r="AZ137" s="29">
        <v>45</v>
      </c>
      <c r="BA137" s="29">
        <v>2500</v>
      </c>
      <c r="BB137" s="14" t="s">
        <v>42</v>
      </c>
      <c r="BC137" s="14">
        <v>9</v>
      </c>
      <c r="BD137" s="14">
        <v>3.7</v>
      </c>
      <c r="BE137" s="14" t="s">
        <v>40</v>
      </c>
      <c r="BF137" s="35" t="s">
        <v>347</v>
      </c>
      <c r="BG137" s="36">
        <f>T137/100*(44)*17.99</f>
        <v>137219.379836</v>
      </c>
      <c r="BH137" s="36">
        <f>T137/100*(56)*35.98</f>
        <v>349285.694128</v>
      </c>
      <c r="BI137" s="37">
        <f t="shared" si="9"/>
        <v>486505.073964</v>
      </c>
      <c r="BJ137" s="36">
        <v>88887</v>
      </c>
      <c r="BK137" s="37">
        <f t="shared" si="11"/>
        <v>575392.073964</v>
      </c>
      <c r="BL137" s="38">
        <v>1.8481500000000002</v>
      </c>
      <c r="BM137" s="38">
        <f t="shared" si="10"/>
        <v>5.548150000000001</v>
      </c>
      <c r="BN137" s="37">
        <v>17857.14285714286</v>
      </c>
    </row>
    <row r="138" spans="1:66" s="17" customFormat="1" ht="120">
      <c r="A138" s="12" t="s">
        <v>348</v>
      </c>
      <c r="B138" s="2">
        <v>723</v>
      </c>
      <c r="C138" s="3" t="s">
        <v>33</v>
      </c>
      <c r="D138" s="3" t="s">
        <v>57</v>
      </c>
      <c r="E138" s="3"/>
      <c r="F138" s="11" t="s">
        <v>35</v>
      </c>
      <c r="G138" s="3" t="s">
        <v>67</v>
      </c>
      <c r="H138" s="14" t="s">
        <v>67</v>
      </c>
      <c r="I138" s="31" t="s">
        <v>467</v>
      </c>
      <c r="J138" s="31">
        <v>1242</v>
      </c>
      <c r="K138" s="14" t="s">
        <v>472</v>
      </c>
      <c r="L138" s="18">
        <v>31712</v>
      </c>
      <c r="M138" s="18">
        <v>31136</v>
      </c>
      <c r="N138" s="18">
        <v>19590</v>
      </c>
      <c r="O138" s="18">
        <v>16077</v>
      </c>
      <c r="P138" s="18"/>
      <c r="Q138" s="18"/>
      <c r="R138" s="18">
        <v>13246</v>
      </c>
      <c r="S138" s="32"/>
      <c r="T138" s="18">
        <f>R138/100*73</f>
        <v>9669.58</v>
      </c>
      <c r="U138" s="14" t="s">
        <v>40</v>
      </c>
      <c r="V138" s="18">
        <v>8166</v>
      </c>
      <c r="W138" s="14" t="s">
        <v>40</v>
      </c>
      <c r="X138" s="18">
        <v>5080</v>
      </c>
      <c r="Y138" s="14" t="s">
        <v>40</v>
      </c>
      <c r="Z138" s="33" t="s">
        <v>349</v>
      </c>
      <c r="AA138" s="14" t="s">
        <v>38</v>
      </c>
      <c r="AB138" s="18" t="s">
        <v>37</v>
      </c>
      <c r="AC138" s="14" t="s">
        <v>35</v>
      </c>
      <c r="AD138" s="18">
        <v>1525</v>
      </c>
      <c r="AE138" s="18">
        <v>19</v>
      </c>
      <c r="AF138" s="18">
        <v>528</v>
      </c>
      <c r="AG138" s="14" t="s">
        <v>40</v>
      </c>
      <c r="AH138" s="14">
        <v>16</v>
      </c>
      <c r="AI138" s="20">
        <v>1205</v>
      </c>
      <c r="AJ138" s="14">
        <v>12</v>
      </c>
      <c r="AK138" s="14" t="s">
        <v>40</v>
      </c>
      <c r="AL138" s="14">
        <v>115</v>
      </c>
      <c r="AM138" s="14">
        <v>2351</v>
      </c>
      <c r="AN138" s="14" t="s">
        <v>40</v>
      </c>
      <c r="AO138" s="14">
        <v>2</v>
      </c>
      <c r="AP138" s="14">
        <v>67</v>
      </c>
      <c r="AQ138" s="14" t="s">
        <v>40</v>
      </c>
      <c r="AR138" s="14" t="s">
        <v>38</v>
      </c>
      <c r="AS138" s="34"/>
      <c r="AT138" s="34"/>
      <c r="AU138" s="14" t="s">
        <v>35</v>
      </c>
      <c r="AV138" s="14" t="s">
        <v>35</v>
      </c>
      <c r="AW138" s="14" t="s">
        <v>38</v>
      </c>
      <c r="AX138" s="29"/>
      <c r="AY138" s="29"/>
      <c r="AZ138" s="29">
        <v>23</v>
      </c>
      <c r="BA138" s="29">
        <v>2228</v>
      </c>
      <c r="BB138" s="14" t="s">
        <v>40</v>
      </c>
      <c r="BC138" s="14">
        <v>10</v>
      </c>
      <c r="BD138" s="14">
        <v>3.2</v>
      </c>
      <c r="BE138" s="14" t="s">
        <v>40</v>
      </c>
      <c r="BF138" s="35" t="s">
        <v>350</v>
      </c>
      <c r="BG138" s="36">
        <f>T138/100*(44)*11.29</f>
        <v>48034.605608</v>
      </c>
      <c r="BH138" s="36">
        <f>T138/100*(56)*22.59</f>
        <v>122324.05483200001</v>
      </c>
      <c r="BI138" s="37">
        <f t="shared" si="9"/>
        <v>170358.66044</v>
      </c>
      <c r="BJ138" s="36">
        <v>183335</v>
      </c>
      <c r="BK138" s="37">
        <f t="shared" si="11"/>
        <v>353693.66044</v>
      </c>
      <c r="BL138" s="38">
        <v>1.5984000000000003</v>
      </c>
      <c r="BM138" s="38">
        <f t="shared" si="10"/>
        <v>4.798400000000001</v>
      </c>
      <c r="BN138" s="37">
        <v>15914.285714285714</v>
      </c>
    </row>
    <row r="139" spans="1:66" s="17" customFormat="1" ht="30">
      <c r="A139" s="3" t="s">
        <v>351</v>
      </c>
      <c r="B139" s="2">
        <v>661</v>
      </c>
      <c r="C139" s="3" t="s">
        <v>33</v>
      </c>
      <c r="D139" s="3" t="s">
        <v>91</v>
      </c>
      <c r="E139" s="3" t="s">
        <v>352</v>
      </c>
      <c r="F139" s="11" t="s">
        <v>35</v>
      </c>
      <c r="G139" s="3" t="s">
        <v>36</v>
      </c>
      <c r="H139" s="14" t="s">
        <v>37</v>
      </c>
      <c r="I139" s="31" t="s">
        <v>465</v>
      </c>
      <c r="J139" s="31">
        <v>213889</v>
      </c>
      <c r="K139" s="14" t="s">
        <v>474</v>
      </c>
      <c r="L139" s="18"/>
      <c r="M139" s="18"/>
      <c r="N139" s="18">
        <v>202700</v>
      </c>
      <c r="O139" s="18">
        <v>211838</v>
      </c>
      <c r="P139" s="18">
        <v>195161</v>
      </c>
      <c r="Q139" s="18">
        <v>202873</v>
      </c>
      <c r="R139" s="18">
        <v>213889</v>
      </c>
      <c r="S139" s="32">
        <f>(R139-Q139)/R139</f>
        <v>0.051503349868389676</v>
      </c>
      <c r="T139" s="18">
        <f>R139/100*68</f>
        <v>145444.52</v>
      </c>
      <c r="U139" s="14" t="s">
        <v>40</v>
      </c>
      <c r="V139" s="18">
        <v>125521</v>
      </c>
      <c r="W139" s="14" t="s">
        <v>40</v>
      </c>
      <c r="X139" s="18">
        <v>88368</v>
      </c>
      <c r="Y139" s="14" t="s">
        <v>40</v>
      </c>
      <c r="Z139" s="33" t="s">
        <v>41</v>
      </c>
      <c r="AA139" s="14" t="s">
        <v>38</v>
      </c>
      <c r="AB139" s="18">
        <v>343393</v>
      </c>
      <c r="AC139" s="14" t="s">
        <v>35</v>
      </c>
      <c r="AD139" s="18" t="s">
        <v>353</v>
      </c>
      <c r="AE139" s="18">
        <v>188</v>
      </c>
      <c r="AF139" s="18">
        <v>3589</v>
      </c>
      <c r="AG139" s="14" t="s">
        <v>40</v>
      </c>
      <c r="AH139" s="14">
        <v>103</v>
      </c>
      <c r="AI139" s="51">
        <v>4658</v>
      </c>
      <c r="AJ139" s="14">
        <v>101</v>
      </c>
      <c r="AK139" s="14" t="s">
        <v>40</v>
      </c>
      <c r="AL139" s="14" t="s">
        <v>46</v>
      </c>
      <c r="AM139" s="14" t="s">
        <v>46</v>
      </c>
      <c r="AN139" s="14" t="s">
        <v>37</v>
      </c>
      <c r="AO139" s="14" t="s">
        <v>46</v>
      </c>
      <c r="AP139" s="14" t="s">
        <v>46</v>
      </c>
      <c r="AQ139" s="14" t="s">
        <v>37</v>
      </c>
      <c r="AR139" s="14" t="s">
        <v>143</v>
      </c>
      <c r="AS139" s="34">
        <v>4</v>
      </c>
      <c r="AT139" s="34">
        <v>3</v>
      </c>
      <c r="AU139" s="14" t="s">
        <v>35</v>
      </c>
      <c r="AV139" s="14" t="s">
        <v>35</v>
      </c>
      <c r="AW139" s="14" t="s">
        <v>38</v>
      </c>
      <c r="AX139" s="29" t="s">
        <v>479</v>
      </c>
      <c r="AY139" s="29" t="s">
        <v>479</v>
      </c>
      <c r="AZ139" s="29">
        <v>21</v>
      </c>
      <c r="BA139" s="29">
        <v>1805.5</v>
      </c>
      <c r="BB139" s="14" t="s">
        <v>40</v>
      </c>
      <c r="BC139" s="14">
        <v>50</v>
      </c>
      <c r="BD139" s="14">
        <v>27</v>
      </c>
      <c r="BE139" s="14" t="s">
        <v>40</v>
      </c>
      <c r="BF139" s="35" t="s">
        <v>41</v>
      </c>
      <c r="BG139" s="36">
        <f>T139/100*(31)*8.9</f>
        <v>401281.43068</v>
      </c>
      <c r="BH139" s="36">
        <f>T139/100*(69)*17.79</f>
        <v>1785346.0274519997</v>
      </c>
      <c r="BI139" s="37">
        <f t="shared" si="9"/>
        <v>2186627.4581319997</v>
      </c>
      <c r="BJ139" s="36">
        <v>790457</v>
      </c>
      <c r="BK139" s="37">
        <f t="shared" si="11"/>
        <v>2977084.4581319997</v>
      </c>
      <c r="BL139" s="38">
        <v>11.390625</v>
      </c>
      <c r="BM139" s="38">
        <f t="shared" si="10"/>
        <v>38.390625</v>
      </c>
      <c r="BN139" s="37">
        <v>12896.428571428572</v>
      </c>
    </row>
    <row r="140" spans="1:66" s="17" customFormat="1" ht="62.25" customHeight="1">
      <c r="A140" s="3" t="s">
        <v>354</v>
      </c>
      <c r="B140" s="2"/>
      <c r="C140" s="3" t="s">
        <v>93</v>
      </c>
      <c r="D140" s="3" t="s">
        <v>61</v>
      </c>
      <c r="E140" s="3"/>
      <c r="F140" s="11"/>
      <c r="G140" s="3" t="s">
        <v>36</v>
      </c>
      <c r="H140" s="14"/>
      <c r="I140" s="39"/>
      <c r="J140" s="39"/>
      <c r="K140" s="14"/>
      <c r="L140" s="18"/>
      <c r="M140" s="18"/>
      <c r="N140" s="18"/>
      <c r="O140" s="18"/>
      <c r="P140" s="18"/>
      <c r="Q140" s="18"/>
      <c r="R140" s="18"/>
      <c r="S140" s="32"/>
      <c r="T140" s="18"/>
      <c r="U140" s="14"/>
      <c r="V140" s="18"/>
      <c r="W140" s="14"/>
      <c r="X140" s="18"/>
      <c r="Y140" s="14"/>
      <c r="Z140" s="33"/>
      <c r="AA140" s="14" t="s">
        <v>35</v>
      </c>
      <c r="AB140" s="18"/>
      <c r="AC140" s="14"/>
      <c r="AD140" s="18"/>
      <c r="AE140" s="18"/>
      <c r="AF140" s="18"/>
      <c r="AG140" s="14"/>
      <c r="AH140" s="14"/>
      <c r="AI140" s="20"/>
      <c r="AJ140" s="14"/>
      <c r="AK140" s="14"/>
      <c r="AL140" s="14"/>
      <c r="AM140" s="14"/>
      <c r="AN140" s="14"/>
      <c r="AO140" s="14"/>
      <c r="AP140" s="14"/>
      <c r="AQ140" s="14"/>
      <c r="AR140" s="14" t="s">
        <v>35</v>
      </c>
      <c r="AS140" s="34">
        <v>8</v>
      </c>
      <c r="AT140" s="34" t="s">
        <v>53</v>
      </c>
      <c r="AU140" s="14" t="s">
        <v>35</v>
      </c>
      <c r="AV140" s="14"/>
      <c r="AW140" s="14"/>
      <c r="AX140" s="29"/>
      <c r="AY140" s="29"/>
      <c r="AZ140" s="29"/>
      <c r="BA140" s="29"/>
      <c r="BB140" s="14"/>
      <c r="BC140" s="14"/>
      <c r="BD140" s="14"/>
      <c r="BE140" s="14"/>
      <c r="BF140" s="35"/>
      <c r="BG140" s="36"/>
      <c r="BH140" s="36"/>
      <c r="BI140" s="37"/>
      <c r="BJ140" s="36"/>
      <c r="BK140" s="37"/>
      <c r="BL140" s="38"/>
      <c r="BM140" s="38">
        <f t="shared" si="10"/>
        <v>0</v>
      </c>
      <c r="BN140" s="37"/>
    </row>
    <row r="141" spans="1:66" s="17" customFormat="1" ht="30">
      <c r="A141" s="12" t="s">
        <v>355</v>
      </c>
      <c r="B141" s="2">
        <v>734</v>
      </c>
      <c r="C141" s="3" t="s">
        <v>33</v>
      </c>
      <c r="D141" s="10" t="s">
        <v>34</v>
      </c>
      <c r="E141" s="10" t="s">
        <v>109</v>
      </c>
      <c r="F141" s="11" t="s">
        <v>35</v>
      </c>
      <c r="G141" s="3" t="s">
        <v>67</v>
      </c>
      <c r="H141" s="8" t="s">
        <v>67</v>
      </c>
      <c r="I141" s="40" t="s">
        <v>465</v>
      </c>
      <c r="J141" s="40" t="s">
        <v>438</v>
      </c>
      <c r="K141" s="8" t="s">
        <v>471</v>
      </c>
      <c r="L141" s="18">
        <v>8595</v>
      </c>
      <c r="M141" s="18">
        <v>11088</v>
      </c>
      <c r="N141" s="18">
        <v>9569</v>
      </c>
      <c r="O141" s="18">
        <v>9669</v>
      </c>
      <c r="P141" s="18">
        <v>8902</v>
      </c>
      <c r="Q141" s="18">
        <v>11170</v>
      </c>
      <c r="R141" s="18">
        <v>9501</v>
      </c>
      <c r="S141" s="32">
        <f>(R141-Q141)/R141</f>
        <v>-0.1756657193979581</v>
      </c>
      <c r="T141" s="18">
        <f>R141/100*77</f>
        <v>7315.77</v>
      </c>
      <c r="U141" s="8" t="s">
        <v>40</v>
      </c>
      <c r="V141" s="18">
        <v>7327</v>
      </c>
      <c r="W141" s="8" t="s">
        <v>40</v>
      </c>
      <c r="X141" s="18">
        <v>2174</v>
      </c>
      <c r="Y141" s="8" t="s">
        <v>40</v>
      </c>
      <c r="Z141" s="41" t="s">
        <v>46</v>
      </c>
      <c r="AA141" s="8" t="s">
        <v>35</v>
      </c>
      <c r="AB141" s="18" t="s">
        <v>37</v>
      </c>
      <c r="AC141" s="8" t="s">
        <v>35</v>
      </c>
      <c r="AD141" s="18">
        <v>3876</v>
      </c>
      <c r="AE141" s="18">
        <v>30</v>
      </c>
      <c r="AF141" s="18">
        <v>1324</v>
      </c>
      <c r="AG141" s="8" t="s">
        <v>40</v>
      </c>
      <c r="AH141" s="8">
        <v>0</v>
      </c>
      <c r="AI141" s="42">
        <v>0</v>
      </c>
      <c r="AJ141" s="8">
        <v>27</v>
      </c>
      <c r="AK141" s="8" t="s">
        <v>40</v>
      </c>
      <c r="AL141" s="8">
        <v>7</v>
      </c>
      <c r="AM141" s="8">
        <v>127</v>
      </c>
      <c r="AN141" s="8" t="s">
        <v>40</v>
      </c>
      <c r="AO141" s="8">
        <v>0</v>
      </c>
      <c r="AP141" s="8">
        <v>0</v>
      </c>
      <c r="AQ141" s="8" t="s">
        <v>40</v>
      </c>
      <c r="AR141" s="8" t="s">
        <v>35</v>
      </c>
      <c r="AS141" s="34">
        <v>4.8</v>
      </c>
      <c r="AT141" s="34">
        <v>3.9</v>
      </c>
      <c r="AU141" s="8" t="s">
        <v>38</v>
      </c>
      <c r="AV141" s="8" t="s">
        <v>38</v>
      </c>
      <c r="AW141" s="8" t="s">
        <v>38</v>
      </c>
      <c r="AX141" s="29"/>
      <c r="AY141" s="29"/>
      <c r="AZ141" s="29" t="s">
        <v>424</v>
      </c>
      <c r="BA141" s="29" t="s">
        <v>424</v>
      </c>
      <c r="BB141" s="8" t="s">
        <v>37</v>
      </c>
      <c r="BC141" s="8" t="s">
        <v>424</v>
      </c>
      <c r="BD141" s="8" t="s">
        <v>424</v>
      </c>
      <c r="BE141" s="8" t="s">
        <v>37</v>
      </c>
      <c r="BF141" s="43" t="s">
        <v>37</v>
      </c>
      <c r="BG141" s="36">
        <f>T141/100*(47)*14.08</f>
        <v>48412.839552</v>
      </c>
      <c r="BH141" s="36">
        <f>T141/100*(53)*28.16</f>
        <v>109186.40409600001</v>
      </c>
      <c r="BI141" s="37">
        <f t="shared" si="9"/>
        <v>157599.243648</v>
      </c>
      <c r="BJ141" s="36"/>
      <c r="BK141" s="37">
        <f aca="true" t="shared" si="12" ref="BK141:BK153">BJ141+BI141</f>
        <v>157599.243648</v>
      </c>
      <c r="BL141" s="44"/>
      <c r="BM141" s="38"/>
      <c r="BN141" s="37"/>
    </row>
    <row r="142" spans="1:66" s="17" customFormat="1" ht="105">
      <c r="A142" s="12" t="s">
        <v>356</v>
      </c>
      <c r="B142" s="2">
        <v>2276</v>
      </c>
      <c r="C142" s="3" t="s">
        <v>33</v>
      </c>
      <c r="D142" s="10" t="s">
        <v>50</v>
      </c>
      <c r="E142" s="10"/>
      <c r="F142" s="11" t="s">
        <v>35</v>
      </c>
      <c r="G142" s="3" t="s">
        <v>36</v>
      </c>
      <c r="H142" s="14" t="s">
        <v>45</v>
      </c>
      <c r="I142" s="31" t="s">
        <v>465</v>
      </c>
      <c r="J142" s="31">
        <v>228</v>
      </c>
      <c r="K142" s="14" t="s">
        <v>471</v>
      </c>
      <c r="L142" s="18">
        <v>1277</v>
      </c>
      <c r="M142" s="18">
        <v>1504</v>
      </c>
      <c r="N142" s="18">
        <v>1402</v>
      </c>
      <c r="O142" s="18">
        <v>1212</v>
      </c>
      <c r="P142" s="18">
        <v>1153</v>
      </c>
      <c r="Q142" s="18">
        <v>1211</v>
      </c>
      <c r="R142" s="18">
        <v>1348</v>
      </c>
      <c r="S142" s="32">
        <f>(R142-Q142)/R142</f>
        <v>0.1016320474777448</v>
      </c>
      <c r="T142" s="18">
        <f>R142/100*77</f>
        <v>1037.96</v>
      </c>
      <c r="U142" s="14" t="s">
        <v>40</v>
      </c>
      <c r="V142" s="18">
        <v>1300</v>
      </c>
      <c r="W142" s="14" t="s">
        <v>42</v>
      </c>
      <c r="X142" s="18">
        <v>50</v>
      </c>
      <c r="Y142" s="14" t="s">
        <v>42</v>
      </c>
      <c r="Z142" s="33" t="s">
        <v>357</v>
      </c>
      <c r="AA142" s="14" t="s">
        <v>35</v>
      </c>
      <c r="AB142" s="18">
        <v>4500</v>
      </c>
      <c r="AC142" s="14" t="s">
        <v>38</v>
      </c>
      <c r="AD142" s="18" t="s">
        <v>37</v>
      </c>
      <c r="AE142" s="18">
        <v>2</v>
      </c>
      <c r="AF142" s="18">
        <v>27</v>
      </c>
      <c r="AG142" s="14" t="s">
        <v>40</v>
      </c>
      <c r="AH142" s="14">
        <v>0</v>
      </c>
      <c r="AI142" s="20">
        <v>0</v>
      </c>
      <c r="AJ142" s="14">
        <v>2</v>
      </c>
      <c r="AK142" s="14" t="s">
        <v>40</v>
      </c>
      <c r="AL142" s="14">
        <v>14</v>
      </c>
      <c r="AM142" s="14">
        <v>30</v>
      </c>
      <c r="AN142" s="14" t="s">
        <v>40</v>
      </c>
      <c r="AO142" s="14">
        <v>2</v>
      </c>
      <c r="AP142" s="14">
        <v>140</v>
      </c>
      <c r="AQ142" s="14" t="s">
        <v>42</v>
      </c>
      <c r="AR142" s="14" t="s">
        <v>38</v>
      </c>
      <c r="AS142" s="34"/>
      <c r="AT142" s="34"/>
      <c r="AU142" s="14" t="s">
        <v>35</v>
      </c>
      <c r="AV142" s="14" t="s">
        <v>38</v>
      </c>
      <c r="AW142" s="14" t="s">
        <v>38</v>
      </c>
      <c r="AX142" s="29">
        <v>8</v>
      </c>
      <c r="AY142" s="29">
        <v>1250</v>
      </c>
      <c r="AZ142" s="29">
        <v>16</v>
      </c>
      <c r="BA142" s="29">
        <v>912</v>
      </c>
      <c r="BB142" s="14" t="s">
        <v>40</v>
      </c>
      <c r="BC142" s="14">
        <v>0</v>
      </c>
      <c r="BD142" s="14">
        <v>0</v>
      </c>
      <c r="BE142" s="14" t="s">
        <v>40</v>
      </c>
      <c r="BF142" s="35" t="s">
        <v>37</v>
      </c>
      <c r="BG142" s="36">
        <f>T142/100*(47)*12.86</f>
        <v>6273.637832</v>
      </c>
      <c r="BH142" s="36">
        <f>T142/100*(53)*25.73</f>
        <v>14154.556724</v>
      </c>
      <c r="BI142" s="37">
        <f t="shared" si="9"/>
        <v>20428.194556000002</v>
      </c>
      <c r="BJ142" s="36">
        <v>7109</v>
      </c>
      <c r="BK142" s="37">
        <f t="shared" si="12"/>
        <v>27537.194556000002</v>
      </c>
      <c r="BL142" s="38">
        <v>0</v>
      </c>
      <c r="BM142" s="38">
        <f t="shared" si="10"/>
        <v>0</v>
      </c>
      <c r="BN142" s="37">
        <v>6514.285714285714</v>
      </c>
    </row>
    <row r="143" spans="1:66" s="17" customFormat="1" ht="105">
      <c r="A143" s="12" t="s">
        <v>358</v>
      </c>
      <c r="B143" s="2">
        <v>777</v>
      </c>
      <c r="C143" s="3" t="s">
        <v>33</v>
      </c>
      <c r="D143" s="10" t="s">
        <v>34</v>
      </c>
      <c r="E143" s="10"/>
      <c r="F143" s="11" t="s">
        <v>35</v>
      </c>
      <c r="G143" s="3" t="s">
        <v>36</v>
      </c>
      <c r="H143" s="14" t="s">
        <v>36</v>
      </c>
      <c r="I143" s="31" t="s">
        <v>466</v>
      </c>
      <c r="J143" s="31">
        <v>1485</v>
      </c>
      <c r="K143" s="14" t="s">
        <v>471</v>
      </c>
      <c r="L143" s="18"/>
      <c r="M143" s="18"/>
      <c r="N143" s="18">
        <v>3000</v>
      </c>
      <c r="O143" s="18"/>
      <c r="P143" s="18">
        <v>1890</v>
      </c>
      <c r="Q143" s="18">
        <v>2100</v>
      </c>
      <c r="R143" s="18">
        <v>1901</v>
      </c>
      <c r="S143" s="32">
        <f>(R143-Q143)/R143</f>
        <v>-0.10468174644923724</v>
      </c>
      <c r="T143" s="18">
        <f>R143/100*77</f>
        <v>1463.7700000000002</v>
      </c>
      <c r="U143" s="14" t="s">
        <v>40</v>
      </c>
      <c r="V143" s="18">
        <v>1425</v>
      </c>
      <c r="W143" s="14" t="s">
        <v>42</v>
      </c>
      <c r="X143" s="18">
        <v>476</v>
      </c>
      <c r="Y143" s="14" t="s">
        <v>42</v>
      </c>
      <c r="Z143" s="33" t="s">
        <v>38</v>
      </c>
      <c r="AA143" s="14" t="s">
        <v>35</v>
      </c>
      <c r="AB143" s="18" t="s">
        <v>46</v>
      </c>
      <c r="AC143" s="14" t="s">
        <v>38</v>
      </c>
      <c r="AD143" s="18" t="s">
        <v>37</v>
      </c>
      <c r="AE143" s="18">
        <v>16</v>
      </c>
      <c r="AF143" s="18">
        <v>487</v>
      </c>
      <c r="AG143" s="48" t="s">
        <v>40</v>
      </c>
      <c r="AH143" s="48">
        <v>7</v>
      </c>
      <c r="AI143" s="49" t="s">
        <v>359</v>
      </c>
      <c r="AJ143" s="48">
        <v>19</v>
      </c>
      <c r="AK143" s="14" t="s">
        <v>40</v>
      </c>
      <c r="AL143" s="48">
        <v>19</v>
      </c>
      <c r="AM143" s="14">
        <v>100</v>
      </c>
      <c r="AN143" s="14" t="s">
        <v>42</v>
      </c>
      <c r="AO143" s="48">
        <v>12</v>
      </c>
      <c r="AP143" s="48">
        <v>300</v>
      </c>
      <c r="AQ143" s="14" t="s">
        <v>42</v>
      </c>
      <c r="AR143" s="14" t="s">
        <v>35</v>
      </c>
      <c r="AS143" s="34">
        <v>3</v>
      </c>
      <c r="AT143" s="34">
        <v>1</v>
      </c>
      <c r="AU143" s="14" t="s">
        <v>35</v>
      </c>
      <c r="AV143" s="14" t="s">
        <v>38</v>
      </c>
      <c r="AW143" s="14" t="s">
        <v>38</v>
      </c>
      <c r="AX143" s="29">
        <v>35</v>
      </c>
      <c r="AY143" s="29">
        <v>2200</v>
      </c>
      <c r="AZ143" s="29">
        <v>35</v>
      </c>
      <c r="BA143" s="29">
        <v>5000</v>
      </c>
      <c r="BB143" s="48" t="s">
        <v>37</v>
      </c>
      <c r="BC143" s="48">
        <v>0</v>
      </c>
      <c r="BD143" s="48">
        <v>0</v>
      </c>
      <c r="BE143" s="48" t="s">
        <v>40</v>
      </c>
      <c r="BF143" s="50" t="s">
        <v>360</v>
      </c>
      <c r="BG143" s="36">
        <f>T143/100*(47)*14.08</f>
        <v>9686.644352000001</v>
      </c>
      <c r="BH143" s="36">
        <f>T143/100*(53)*28.16</f>
        <v>21846.474496000003</v>
      </c>
      <c r="BI143" s="37">
        <f t="shared" si="9"/>
        <v>31533.118848000006</v>
      </c>
      <c r="BJ143" s="36">
        <v>12237.46</v>
      </c>
      <c r="BK143" s="37">
        <f t="shared" si="12"/>
        <v>43770.578848000005</v>
      </c>
      <c r="BL143" s="38">
        <v>0</v>
      </c>
      <c r="BM143" s="38">
        <f t="shared" si="10"/>
        <v>0</v>
      </c>
      <c r="BN143" s="37">
        <v>35714.28571428572</v>
      </c>
    </row>
    <row r="144" spans="1:66" s="17" customFormat="1" ht="45">
      <c r="A144" s="3" t="s">
        <v>449</v>
      </c>
      <c r="B144" s="2">
        <v>745</v>
      </c>
      <c r="C144" s="3" t="s">
        <v>33</v>
      </c>
      <c r="D144" s="10" t="s">
        <v>34</v>
      </c>
      <c r="E144" s="10" t="s">
        <v>109</v>
      </c>
      <c r="F144" s="11" t="s">
        <v>35</v>
      </c>
      <c r="G144" s="3" t="s">
        <v>67</v>
      </c>
      <c r="H144" s="8" t="s">
        <v>67</v>
      </c>
      <c r="I144" s="40" t="s">
        <v>465</v>
      </c>
      <c r="J144" s="40" t="s">
        <v>423</v>
      </c>
      <c r="K144" s="8" t="s">
        <v>471</v>
      </c>
      <c r="L144" s="18"/>
      <c r="M144" s="18"/>
      <c r="N144" s="18">
        <v>8355</v>
      </c>
      <c r="O144" s="18">
        <v>9597</v>
      </c>
      <c r="P144" s="18">
        <v>8747</v>
      </c>
      <c r="Q144" s="18">
        <v>11441</v>
      </c>
      <c r="R144" s="18">
        <v>9826</v>
      </c>
      <c r="S144" s="32">
        <f>(R144-Q144)/R144</f>
        <v>-0.1643598615916955</v>
      </c>
      <c r="T144" s="18">
        <f>R144/100*77</f>
        <v>7566.02</v>
      </c>
      <c r="U144" s="8" t="s">
        <v>40</v>
      </c>
      <c r="V144" s="18">
        <v>7026</v>
      </c>
      <c r="W144" s="8" t="s">
        <v>40</v>
      </c>
      <c r="X144" s="18">
        <v>2800</v>
      </c>
      <c r="Y144" s="8" t="s">
        <v>40</v>
      </c>
      <c r="Z144" s="41" t="s">
        <v>38</v>
      </c>
      <c r="AA144" s="8" t="s">
        <v>35</v>
      </c>
      <c r="AB144" s="18" t="s">
        <v>37</v>
      </c>
      <c r="AC144" s="8" t="s">
        <v>35</v>
      </c>
      <c r="AD144" s="18">
        <v>2702</v>
      </c>
      <c r="AE144" s="18">
        <v>113</v>
      </c>
      <c r="AF144" s="18">
        <v>1515</v>
      </c>
      <c r="AG144" s="45" t="s">
        <v>40</v>
      </c>
      <c r="AH144" s="8">
        <v>8</v>
      </c>
      <c r="AI144" s="42">
        <v>960</v>
      </c>
      <c r="AJ144" s="8">
        <v>26</v>
      </c>
      <c r="AK144" s="8" t="s">
        <v>37</v>
      </c>
      <c r="AL144" s="8">
        <v>100</v>
      </c>
      <c r="AM144" s="8">
        <v>1984</v>
      </c>
      <c r="AN144" s="8" t="s">
        <v>40</v>
      </c>
      <c r="AO144" s="8">
        <v>11</v>
      </c>
      <c r="AP144" s="8">
        <v>6198</v>
      </c>
      <c r="AQ144" s="8" t="s">
        <v>40</v>
      </c>
      <c r="AR144" s="8" t="s">
        <v>35</v>
      </c>
      <c r="AS144" s="34">
        <v>3.95</v>
      </c>
      <c r="AT144" s="34">
        <v>2.95</v>
      </c>
      <c r="AU144" s="8" t="s">
        <v>38</v>
      </c>
      <c r="AV144" s="8" t="s">
        <v>38</v>
      </c>
      <c r="AW144" s="8" t="s">
        <v>38</v>
      </c>
      <c r="AX144" s="29">
        <v>124</v>
      </c>
      <c r="AY144" s="29">
        <v>24800</v>
      </c>
      <c r="AZ144" s="29" t="s">
        <v>424</v>
      </c>
      <c r="BA144" s="29" t="s">
        <v>424</v>
      </c>
      <c r="BB144" s="45" t="s">
        <v>37</v>
      </c>
      <c r="BC144" s="45" t="s">
        <v>424</v>
      </c>
      <c r="BD144" s="45" t="s">
        <v>424</v>
      </c>
      <c r="BE144" s="45" t="s">
        <v>37</v>
      </c>
      <c r="BF144" s="46" t="s">
        <v>425</v>
      </c>
      <c r="BG144" s="36">
        <f>T144/100*(47)*14.08</f>
        <v>50068.893952000006</v>
      </c>
      <c r="BH144" s="36">
        <f>T144/100*(53)*28.16</f>
        <v>112921.335296</v>
      </c>
      <c r="BI144" s="37">
        <f t="shared" si="9"/>
        <v>162990.22924800002</v>
      </c>
      <c r="BJ144" s="36"/>
      <c r="BK144" s="37">
        <f t="shared" si="12"/>
        <v>162990.22924800002</v>
      </c>
      <c r="BL144" s="44"/>
      <c r="BM144" s="38"/>
      <c r="BN144" s="37"/>
    </row>
    <row r="145" spans="1:66" s="17" customFormat="1" ht="75">
      <c r="A145" s="12" t="s">
        <v>452</v>
      </c>
      <c r="B145" s="2">
        <v>1936</v>
      </c>
      <c r="C145" s="3" t="s">
        <v>33</v>
      </c>
      <c r="D145" s="10" t="s">
        <v>50</v>
      </c>
      <c r="E145" s="10"/>
      <c r="F145" s="11" t="s">
        <v>35</v>
      </c>
      <c r="G145" s="3" t="s">
        <v>36</v>
      </c>
      <c r="H145" s="14" t="s">
        <v>37</v>
      </c>
      <c r="I145" s="31" t="s">
        <v>466</v>
      </c>
      <c r="J145" s="31">
        <v>518</v>
      </c>
      <c r="K145" s="14" t="s">
        <v>472</v>
      </c>
      <c r="L145" s="18">
        <v>17112</v>
      </c>
      <c r="M145" s="18">
        <v>18674</v>
      </c>
      <c r="N145" s="18">
        <v>17801</v>
      </c>
      <c r="O145" s="18">
        <v>16131</v>
      </c>
      <c r="P145" s="18">
        <v>17334</v>
      </c>
      <c r="Q145" s="18">
        <v>16517</v>
      </c>
      <c r="R145" s="18">
        <v>18888</v>
      </c>
      <c r="S145" s="32">
        <f>(R145-Q145)/R145</f>
        <v>0.12552943667937314</v>
      </c>
      <c r="T145" s="18">
        <f>R145/100*73</f>
        <v>13788.24</v>
      </c>
      <c r="U145" s="14" t="s">
        <v>40</v>
      </c>
      <c r="V145" s="18">
        <v>14483</v>
      </c>
      <c r="W145" s="14" t="s">
        <v>40</v>
      </c>
      <c r="X145" s="18">
        <v>4405</v>
      </c>
      <c r="Y145" s="14" t="s">
        <v>40</v>
      </c>
      <c r="Z145" s="33" t="s">
        <v>126</v>
      </c>
      <c r="AA145" s="14" t="s">
        <v>35</v>
      </c>
      <c r="AB145" s="18" t="s">
        <v>127</v>
      </c>
      <c r="AC145" s="14" t="s">
        <v>35</v>
      </c>
      <c r="AD145" s="18" t="s">
        <v>127</v>
      </c>
      <c r="AE145" s="18">
        <v>13</v>
      </c>
      <c r="AF145" s="18">
        <v>466</v>
      </c>
      <c r="AG145" s="14" t="s">
        <v>40</v>
      </c>
      <c r="AH145" s="14">
        <v>0</v>
      </c>
      <c r="AI145" s="20">
        <v>0</v>
      </c>
      <c r="AJ145" s="14" t="s">
        <v>37</v>
      </c>
      <c r="AK145" s="14" t="s">
        <v>37</v>
      </c>
      <c r="AL145" s="14">
        <v>0</v>
      </c>
      <c r="AM145" s="14">
        <v>0</v>
      </c>
      <c r="AN145" s="14" t="s">
        <v>40</v>
      </c>
      <c r="AO145" s="14" t="s">
        <v>37</v>
      </c>
      <c r="AP145" s="14" t="s">
        <v>37</v>
      </c>
      <c r="AQ145" s="14" t="s">
        <v>37</v>
      </c>
      <c r="AR145" s="14" t="s">
        <v>35</v>
      </c>
      <c r="AS145" s="34">
        <v>9</v>
      </c>
      <c r="AT145" s="34">
        <v>6</v>
      </c>
      <c r="AU145" s="14" t="s">
        <v>35</v>
      </c>
      <c r="AV145" s="14" t="s">
        <v>35</v>
      </c>
      <c r="AW145" s="14" t="s">
        <v>38</v>
      </c>
      <c r="AX145" s="29">
        <v>96</v>
      </c>
      <c r="AY145" s="29">
        <v>43227</v>
      </c>
      <c r="AZ145" s="29">
        <v>105</v>
      </c>
      <c r="BA145" s="29">
        <v>43052</v>
      </c>
      <c r="BB145" s="14" t="s">
        <v>42</v>
      </c>
      <c r="BC145" s="14">
        <v>0</v>
      </c>
      <c r="BD145" s="14">
        <v>0</v>
      </c>
      <c r="BE145" s="14" t="s">
        <v>40</v>
      </c>
      <c r="BF145" s="35" t="s">
        <v>37</v>
      </c>
      <c r="BG145" s="36">
        <f>T145/100*(44)*12.86</f>
        <v>78019.377216</v>
      </c>
      <c r="BH145" s="36">
        <f>T145/100*(56)*25.73</f>
        <v>198671.992512</v>
      </c>
      <c r="BI145" s="37">
        <f t="shared" si="9"/>
        <v>276691.369728</v>
      </c>
      <c r="BJ145" s="36">
        <v>244128</v>
      </c>
      <c r="BK145" s="37">
        <f t="shared" si="12"/>
        <v>520819.369728</v>
      </c>
      <c r="BL145" s="38">
        <v>0</v>
      </c>
      <c r="BM145" s="38">
        <f t="shared" si="10"/>
        <v>0</v>
      </c>
      <c r="BN145" s="37">
        <v>307514.28571428574</v>
      </c>
    </row>
    <row r="146" spans="1:66" s="17" customFormat="1" ht="45">
      <c r="A146" s="12" t="s">
        <v>361</v>
      </c>
      <c r="B146" s="2">
        <v>1669</v>
      </c>
      <c r="C146" s="3" t="s">
        <v>33</v>
      </c>
      <c r="D146" s="16" t="s">
        <v>44</v>
      </c>
      <c r="E146" s="16"/>
      <c r="F146" s="11" t="s">
        <v>35</v>
      </c>
      <c r="G146" s="3" t="s">
        <v>36</v>
      </c>
      <c r="H146" s="14" t="s">
        <v>36</v>
      </c>
      <c r="I146" s="31" t="s">
        <v>466</v>
      </c>
      <c r="J146" s="31">
        <v>1115</v>
      </c>
      <c r="K146" s="14" t="s">
        <v>472</v>
      </c>
      <c r="L146" s="18">
        <v>9850</v>
      </c>
      <c r="M146" s="18">
        <v>12761</v>
      </c>
      <c r="N146" s="18">
        <v>11116</v>
      </c>
      <c r="O146" s="18"/>
      <c r="P146" s="18"/>
      <c r="Q146" s="18"/>
      <c r="R146" s="18">
        <v>14000</v>
      </c>
      <c r="S146" s="32"/>
      <c r="T146" s="18">
        <f>R146/100*73</f>
        <v>10220</v>
      </c>
      <c r="U146" s="14" t="s">
        <v>42</v>
      </c>
      <c r="V146" s="18">
        <v>8857</v>
      </c>
      <c r="W146" s="14" t="s">
        <v>40</v>
      </c>
      <c r="X146" s="18">
        <v>4000</v>
      </c>
      <c r="Y146" s="14" t="s">
        <v>42</v>
      </c>
      <c r="Z146" s="33" t="s">
        <v>162</v>
      </c>
      <c r="AA146" s="14" t="s">
        <v>35</v>
      </c>
      <c r="AB146" s="18" t="s">
        <v>121</v>
      </c>
      <c r="AC146" s="14" t="s">
        <v>35</v>
      </c>
      <c r="AD146" s="18">
        <v>600</v>
      </c>
      <c r="AE146" s="18">
        <v>30</v>
      </c>
      <c r="AF146" s="18">
        <v>1500</v>
      </c>
      <c r="AG146" s="14" t="s">
        <v>42</v>
      </c>
      <c r="AH146" s="14">
        <v>30</v>
      </c>
      <c r="AI146" s="20">
        <v>4000</v>
      </c>
      <c r="AJ146" s="14">
        <v>50</v>
      </c>
      <c r="AK146" s="14" t="s">
        <v>42</v>
      </c>
      <c r="AL146" s="14">
        <v>40</v>
      </c>
      <c r="AM146" s="14">
        <v>750</v>
      </c>
      <c r="AN146" s="14" t="s">
        <v>42</v>
      </c>
      <c r="AO146" s="14">
        <v>20</v>
      </c>
      <c r="AP146" s="14">
        <v>1000</v>
      </c>
      <c r="AQ146" s="14" t="s">
        <v>42</v>
      </c>
      <c r="AR146" s="14" t="s">
        <v>35</v>
      </c>
      <c r="AS146" s="34">
        <v>5</v>
      </c>
      <c r="AT146" s="34">
        <v>3</v>
      </c>
      <c r="AU146" s="14" t="s">
        <v>35</v>
      </c>
      <c r="AV146" s="14" t="s">
        <v>35</v>
      </c>
      <c r="AW146" s="14" t="s">
        <v>38</v>
      </c>
      <c r="AX146" s="29"/>
      <c r="AY146" s="29"/>
      <c r="AZ146" s="29">
        <v>32</v>
      </c>
      <c r="BA146" s="29">
        <v>2000</v>
      </c>
      <c r="BB146" s="14" t="s">
        <v>42</v>
      </c>
      <c r="BC146" s="14">
        <v>8</v>
      </c>
      <c r="BD146" s="14">
        <v>2</v>
      </c>
      <c r="BE146" s="14" t="s">
        <v>40</v>
      </c>
      <c r="BF146" s="35" t="s">
        <v>362</v>
      </c>
      <c r="BG146" s="36">
        <f>T146/100*(44)*17.99</f>
        <v>80897.432</v>
      </c>
      <c r="BH146" s="36">
        <f>T146/100*(56)*35.98</f>
        <v>205920.73599999998</v>
      </c>
      <c r="BI146" s="37">
        <f t="shared" si="9"/>
        <v>286818.16799999995</v>
      </c>
      <c r="BJ146" s="36"/>
      <c r="BK146" s="37">
        <f t="shared" si="12"/>
        <v>286818.16799999995</v>
      </c>
      <c r="BL146" s="38">
        <v>0.9989999999999999</v>
      </c>
      <c r="BM146" s="38">
        <f t="shared" si="10"/>
        <v>2.9989999999999997</v>
      </c>
      <c r="BN146" s="37">
        <v>14285.714285714286</v>
      </c>
    </row>
    <row r="147" spans="1:66" s="17" customFormat="1" ht="90">
      <c r="A147" s="3" t="s">
        <v>363</v>
      </c>
      <c r="B147" s="2">
        <v>698</v>
      </c>
      <c r="C147" s="3" t="s">
        <v>33</v>
      </c>
      <c r="D147" s="3" t="s">
        <v>91</v>
      </c>
      <c r="E147" s="3"/>
      <c r="F147" s="11" t="s">
        <v>35</v>
      </c>
      <c r="G147" s="3" t="s">
        <v>67</v>
      </c>
      <c r="H147" s="14" t="s">
        <v>37</v>
      </c>
      <c r="I147" s="31" t="s">
        <v>465</v>
      </c>
      <c r="J147" s="31">
        <v>1700</v>
      </c>
      <c r="K147" s="14" t="s">
        <v>472</v>
      </c>
      <c r="L147" s="18">
        <v>25800</v>
      </c>
      <c r="M147" s="18">
        <v>42404</v>
      </c>
      <c r="N147" s="18">
        <v>30216</v>
      </c>
      <c r="O147" s="18"/>
      <c r="P147" s="18"/>
      <c r="Q147" s="18"/>
      <c r="R147" s="18">
        <v>41833</v>
      </c>
      <c r="S147" s="32"/>
      <c r="T147" s="18">
        <f>R147/100*73</f>
        <v>30538.09</v>
      </c>
      <c r="U147" s="14" t="s">
        <v>40</v>
      </c>
      <c r="V147" s="18">
        <v>30725</v>
      </c>
      <c r="W147" s="14" t="s">
        <v>40</v>
      </c>
      <c r="X147" s="18">
        <v>11108</v>
      </c>
      <c r="Y147" s="14" t="s">
        <v>40</v>
      </c>
      <c r="Z147" s="33" t="s">
        <v>364</v>
      </c>
      <c r="AA147" s="14" t="s">
        <v>35</v>
      </c>
      <c r="AB147" s="18">
        <v>186499</v>
      </c>
      <c r="AC147" s="14" t="s">
        <v>35</v>
      </c>
      <c r="AD147" s="18">
        <v>4432</v>
      </c>
      <c r="AE147" s="18">
        <v>135</v>
      </c>
      <c r="AF147" s="18">
        <v>3108</v>
      </c>
      <c r="AG147" s="14" t="s">
        <v>40</v>
      </c>
      <c r="AH147" s="14">
        <v>5</v>
      </c>
      <c r="AI147" s="20">
        <v>140</v>
      </c>
      <c r="AJ147" s="14">
        <v>57</v>
      </c>
      <c r="AK147" s="14" t="s">
        <v>40</v>
      </c>
      <c r="AL147" s="14">
        <v>139</v>
      </c>
      <c r="AM147" s="14">
        <v>5625</v>
      </c>
      <c r="AN147" s="14" t="s">
        <v>40</v>
      </c>
      <c r="AO147" s="14">
        <v>4</v>
      </c>
      <c r="AP147" s="29">
        <v>1530</v>
      </c>
      <c r="AQ147" s="14" t="s">
        <v>42</v>
      </c>
      <c r="AR147" s="14" t="s">
        <v>38</v>
      </c>
      <c r="AS147" s="34"/>
      <c r="AT147" s="34"/>
      <c r="AU147" s="14" t="s">
        <v>35</v>
      </c>
      <c r="AV147" s="14" t="s">
        <v>38</v>
      </c>
      <c r="AW147" s="14" t="s">
        <v>35</v>
      </c>
      <c r="AX147" s="29"/>
      <c r="AY147" s="29"/>
      <c r="AZ147" s="29">
        <v>30</v>
      </c>
      <c r="BA147" s="29">
        <v>1200</v>
      </c>
      <c r="BB147" s="14" t="s">
        <v>42</v>
      </c>
      <c r="BC147" s="14">
        <v>14</v>
      </c>
      <c r="BD147" s="14">
        <v>10.1</v>
      </c>
      <c r="BE147" s="14" t="s">
        <v>37</v>
      </c>
      <c r="BF147" s="35" t="s">
        <v>365</v>
      </c>
      <c r="BG147" s="36">
        <f>T147/100*(44)*8.9</f>
        <v>119587.16043999999</v>
      </c>
      <c r="BH147" s="36">
        <f>T147/100*(56)*17.79</f>
        <v>304232.66781599994</v>
      </c>
      <c r="BI147" s="37">
        <f t="shared" si="9"/>
        <v>423819.82825599995</v>
      </c>
      <c r="BJ147" s="36">
        <v>387957.49</v>
      </c>
      <c r="BK147" s="37">
        <f t="shared" si="12"/>
        <v>811777.3182559999</v>
      </c>
      <c r="BL147" s="38">
        <v>5.044949999999999</v>
      </c>
      <c r="BM147" s="38">
        <f t="shared" si="10"/>
        <v>15.144949999999998</v>
      </c>
      <c r="BN147" s="37">
        <v>8571.42857142857</v>
      </c>
    </row>
    <row r="148" spans="1:66" s="17" customFormat="1" ht="45">
      <c r="A148" s="3" t="s">
        <v>448</v>
      </c>
      <c r="B148" s="2">
        <v>740</v>
      </c>
      <c r="C148" s="3" t="s">
        <v>33</v>
      </c>
      <c r="D148" s="10" t="s">
        <v>34</v>
      </c>
      <c r="E148" s="10" t="s">
        <v>109</v>
      </c>
      <c r="F148" s="11" t="s">
        <v>35</v>
      </c>
      <c r="G148" s="3" t="s">
        <v>67</v>
      </c>
      <c r="H148" s="8" t="s">
        <v>67</v>
      </c>
      <c r="I148" s="40" t="s">
        <v>465</v>
      </c>
      <c r="J148" s="40" t="s">
        <v>437</v>
      </c>
      <c r="K148" s="8" t="s">
        <v>472</v>
      </c>
      <c r="L148" s="18"/>
      <c r="M148" s="18"/>
      <c r="N148" s="18">
        <v>15215</v>
      </c>
      <c r="O148" s="18">
        <v>17212</v>
      </c>
      <c r="P148" s="18">
        <v>14256</v>
      </c>
      <c r="Q148" s="18">
        <v>15378</v>
      </c>
      <c r="R148" s="18">
        <v>18320</v>
      </c>
      <c r="S148" s="32">
        <f>(R148-Q148)/R148</f>
        <v>0.16058951965065502</v>
      </c>
      <c r="T148" s="18">
        <f>R148/100*73</f>
        <v>13373.599999999999</v>
      </c>
      <c r="U148" s="8" t="s">
        <v>40</v>
      </c>
      <c r="V148" s="18">
        <v>13470</v>
      </c>
      <c r="W148" s="8" t="s">
        <v>40</v>
      </c>
      <c r="X148" s="18">
        <v>4850</v>
      </c>
      <c r="Y148" s="8" t="s">
        <v>40</v>
      </c>
      <c r="Z148" s="41" t="s">
        <v>37</v>
      </c>
      <c r="AA148" s="8" t="s">
        <v>35</v>
      </c>
      <c r="AB148" s="18" t="s">
        <v>37</v>
      </c>
      <c r="AC148" s="8" t="s">
        <v>35</v>
      </c>
      <c r="AD148" s="18">
        <v>2060</v>
      </c>
      <c r="AE148" s="18">
        <v>66</v>
      </c>
      <c r="AF148" s="18">
        <v>1717</v>
      </c>
      <c r="AG148" s="45" t="s">
        <v>40</v>
      </c>
      <c r="AH148" s="8">
        <v>1</v>
      </c>
      <c r="AI148" s="42">
        <v>59</v>
      </c>
      <c r="AJ148" s="8">
        <v>44</v>
      </c>
      <c r="AK148" s="8" t="s">
        <v>40</v>
      </c>
      <c r="AL148" s="8">
        <v>25</v>
      </c>
      <c r="AM148" s="8">
        <v>2643</v>
      </c>
      <c r="AN148" s="8" t="s">
        <v>40</v>
      </c>
      <c r="AO148" s="8">
        <v>0</v>
      </c>
      <c r="AP148" s="8">
        <v>0</v>
      </c>
      <c r="AQ148" s="8" t="s">
        <v>40</v>
      </c>
      <c r="AR148" s="8" t="s">
        <v>35</v>
      </c>
      <c r="AS148" s="34">
        <v>4.2</v>
      </c>
      <c r="AT148" s="34">
        <v>3.2</v>
      </c>
      <c r="AU148" s="8" t="s">
        <v>35</v>
      </c>
      <c r="AV148" s="8" t="s">
        <v>38</v>
      </c>
      <c r="AW148" s="8" t="s">
        <v>38</v>
      </c>
      <c r="AX148" s="29"/>
      <c r="AY148" s="29"/>
      <c r="AZ148" s="29" t="s">
        <v>424</v>
      </c>
      <c r="BA148" s="29" t="s">
        <v>424</v>
      </c>
      <c r="BB148" s="45" t="s">
        <v>37</v>
      </c>
      <c r="BC148" s="45" t="s">
        <v>424</v>
      </c>
      <c r="BD148" s="45" t="s">
        <v>424</v>
      </c>
      <c r="BE148" s="45" t="s">
        <v>37</v>
      </c>
      <c r="BF148" s="46" t="s">
        <v>425</v>
      </c>
      <c r="BG148" s="36">
        <f>T148/100*(44)*14.08</f>
        <v>82852.12672</v>
      </c>
      <c r="BH148" s="36">
        <f>T148/100*(56)*28.16</f>
        <v>210896.32255999997</v>
      </c>
      <c r="BI148" s="37">
        <f t="shared" si="9"/>
        <v>293748.44927999994</v>
      </c>
      <c r="BJ148" s="36"/>
      <c r="BK148" s="37">
        <f t="shared" si="12"/>
        <v>293748.44927999994</v>
      </c>
      <c r="BL148" s="44"/>
      <c r="BM148" s="38"/>
      <c r="BN148" s="37"/>
    </row>
    <row r="149" spans="1:66" s="17" customFormat="1" ht="45">
      <c r="A149" s="20" t="s">
        <v>366</v>
      </c>
      <c r="B149" s="2"/>
      <c r="C149" s="3" t="s">
        <v>209</v>
      </c>
      <c r="D149" s="10" t="s">
        <v>34</v>
      </c>
      <c r="E149" s="10"/>
      <c r="F149" s="11" t="s">
        <v>35</v>
      </c>
      <c r="G149" s="14" t="s">
        <v>36</v>
      </c>
      <c r="H149" s="14" t="s">
        <v>45</v>
      </c>
      <c r="I149" s="31" t="s">
        <v>466</v>
      </c>
      <c r="J149" s="31">
        <v>1417</v>
      </c>
      <c r="K149" s="14" t="s">
        <v>472</v>
      </c>
      <c r="L149" s="18">
        <v>33869</v>
      </c>
      <c r="M149" s="18">
        <v>30586</v>
      </c>
      <c r="N149" s="18">
        <v>30883</v>
      </c>
      <c r="O149" s="18">
        <v>27343</v>
      </c>
      <c r="P149" s="18">
        <v>29000</v>
      </c>
      <c r="Q149" s="18">
        <v>26000</v>
      </c>
      <c r="R149" s="18">
        <v>28837</v>
      </c>
      <c r="S149" s="32">
        <f>(R149-Q149)/R149</f>
        <v>0.0983805527620765</v>
      </c>
      <c r="T149" s="18">
        <f>R149/100*73</f>
        <v>21051.010000000002</v>
      </c>
      <c r="U149" s="14" t="s">
        <v>40</v>
      </c>
      <c r="V149" s="18">
        <v>19743</v>
      </c>
      <c r="W149" s="14" t="s">
        <v>37</v>
      </c>
      <c r="X149" s="18">
        <v>8603</v>
      </c>
      <c r="Y149" s="14" t="s">
        <v>40</v>
      </c>
      <c r="Z149" s="33" t="s">
        <v>38</v>
      </c>
      <c r="AA149" s="14" t="s">
        <v>35</v>
      </c>
      <c r="AB149" s="18">
        <v>86000</v>
      </c>
      <c r="AC149" s="14" t="s">
        <v>38</v>
      </c>
      <c r="AD149" s="18">
        <v>0</v>
      </c>
      <c r="AE149" s="18">
        <v>23</v>
      </c>
      <c r="AF149" s="18">
        <v>280</v>
      </c>
      <c r="AG149" s="14" t="s">
        <v>42</v>
      </c>
      <c r="AH149" s="14">
        <v>0</v>
      </c>
      <c r="AI149" s="20">
        <v>0</v>
      </c>
      <c r="AJ149" s="14">
        <v>12</v>
      </c>
      <c r="AK149" s="14" t="s">
        <v>42</v>
      </c>
      <c r="AL149" s="14">
        <v>4</v>
      </c>
      <c r="AM149" s="14">
        <v>65</v>
      </c>
      <c r="AN149" s="14" t="s">
        <v>42</v>
      </c>
      <c r="AO149" s="14">
        <v>0</v>
      </c>
      <c r="AP149" s="14">
        <v>0</v>
      </c>
      <c r="AQ149" s="14" t="s">
        <v>40</v>
      </c>
      <c r="AR149" s="14" t="s">
        <v>35</v>
      </c>
      <c r="AS149" s="34">
        <v>11</v>
      </c>
      <c r="AT149" s="34">
        <v>7</v>
      </c>
      <c r="AU149" s="14" t="s">
        <v>35</v>
      </c>
      <c r="AV149" s="14" t="s">
        <v>35</v>
      </c>
      <c r="AW149" s="14" t="s">
        <v>38</v>
      </c>
      <c r="AX149" s="29">
        <v>0</v>
      </c>
      <c r="AY149" s="29">
        <v>0</v>
      </c>
      <c r="AZ149" s="29">
        <v>0</v>
      </c>
      <c r="BA149" s="29">
        <v>0</v>
      </c>
      <c r="BB149" s="14" t="s">
        <v>40</v>
      </c>
      <c r="BC149" s="14">
        <v>8</v>
      </c>
      <c r="BD149" s="14">
        <v>7</v>
      </c>
      <c r="BE149" s="14" t="s">
        <v>40</v>
      </c>
      <c r="BF149" s="35" t="s">
        <v>367</v>
      </c>
      <c r="BG149" s="36">
        <f>T149/100*(44)*14.08</f>
        <v>130415.21715200001</v>
      </c>
      <c r="BH149" s="36">
        <f>T149/100*(56)*28.16</f>
        <v>331966.007296</v>
      </c>
      <c r="BI149" s="37">
        <f t="shared" si="9"/>
        <v>462381.224448</v>
      </c>
      <c r="BJ149" s="36">
        <v>188698</v>
      </c>
      <c r="BK149" s="37">
        <f t="shared" si="12"/>
        <v>651079.2244480001</v>
      </c>
      <c r="BL149" s="38">
        <v>3.4964999999999997</v>
      </c>
      <c r="BM149" s="38">
        <f t="shared" si="10"/>
        <v>10.4965</v>
      </c>
      <c r="BN149" s="37">
        <v>0</v>
      </c>
    </row>
    <row r="150" spans="1:66" s="17" customFormat="1" ht="45">
      <c r="A150" s="20" t="s">
        <v>368</v>
      </c>
      <c r="B150" s="2"/>
      <c r="C150" s="3" t="s">
        <v>209</v>
      </c>
      <c r="D150" s="10" t="s">
        <v>61</v>
      </c>
      <c r="E150" s="10"/>
      <c r="F150" s="11" t="s">
        <v>35</v>
      </c>
      <c r="G150" s="14" t="s">
        <v>36</v>
      </c>
      <c r="H150" s="14" t="s">
        <v>36</v>
      </c>
      <c r="I150" s="31" t="s">
        <v>466</v>
      </c>
      <c r="J150" s="31">
        <v>450</v>
      </c>
      <c r="K150" s="14" t="s">
        <v>471</v>
      </c>
      <c r="L150" s="18"/>
      <c r="M150" s="18"/>
      <c r="N150" s="18"/>
      <c r="O150" s="18"/>
      <c r="P150" s="18"/>
      <c r="Q150" s="18"/>
      <c r="R150" s="18">
        <v>6900</v>
      </c>
      <c r="S150" s="32"/>
      <c r="T150" s="18">
        <f>R150/100*77</f>
        <v>5313</v>
      </c>
      <c r="U150" s="14" t="s">
        <v>40</v>
      </c>
      <c r="V150" s="18">
        <v>6850</v>
      </c>
      <c r="W150" s="14" t="s">
        <v>42</v>
      </c>
      <c r="X150" s="18">
        <v>50</v>
      </c>
      <c r="Y150" s="14" t="s">
        <v>42</v>
      </c>
      <c r="Z150" s="33" t="s">
        <v>38</v>
      </c>
      <c r="AA150" s="14" t="s">
        <v>35</v>
      </c>
      <c r="AB150" s="18" t="s">
        <v>289</v>
      </c>
      <c r="AC150" s="14" t="s">
        <v>35</v>
      </c>
      <c r="AD150" s="18">
        <v>3000</v>
      </c>
      <c r="AE150" s="18">
        <v>0</v>
      </c>
      <c r="AF150" s="18">
        <v>0</v>
      </c>
      <c r="AG150" s="14" t="s">
        <v>40</v>
      </c>
      <c r="AH150" s="14">
        <v>0</v>
      </c>
      <c r="AI150" s="20">
        <v>0</v>
      </c>
      <c r="AJ150" s="14">
        <v>0</v>
      </c>
      <c r="AK150" s="14" t="s">
        <v>40</v>
      </c>
      <c r="AL150" s="14">
        <v>25</v>
      </c>
      <c r="AM150" s="14">
        <v>250</v>
      </c>
      <c r="AN150" s="14" t="s">
        <v>42</v>
      </c>
      <c r="AO150" s="14">
        <v>5</v>
      </c>
      <c r="AP150" s="14">
        <v>150</v>
      </c>
      <c r="AQ150" s="14" t="s">
        <v>42</v>
      </c>
      <c r="AR150" s="14" t="s">
        <v>35</v>
      </c>
      <c r="AS150" s="34">
        <v>6</v>
      </c>
      <c r="AT150" s="34">
        <v>1</v>
      </c>
      <c r="AU150" s="14" t="s">
        <v>35</v>
      </c>
      <c r="AV150" s="14" t="s">
        <v>38</v>
      </c>
      <c r="AW150" s="14" t="s">
        <v>35</v>
      </c>
      <c r="AX150" s="29"/>
      <c r="AY150" s="29"/>
      <c r="AZ150" s="29">
        <v>80</v>
      </c>
      <c r="BA150" s="29">
        <v>7500</v>
      </c>
      <c r="BB150" s="14" t="s">
        <v>42</v>
      </c>
      <c r="BC150" s="14">
        <v>3</v>
      </c>
      <c r="BD150" s="14">
        <v>2.2</v>
      </c>
      <c r="BE150" s="14" t="s">
        <v>40</v>
      </c>
      <c r="BF150" s="35" t="s">
        <v>37</v>
      </c>
      <c r="BG150" s="36">
        <f>T150/100*(47)*12.91</f>
        <v>32237.690100000003</v>
      </c>
      <c r="BH150" s="36">
        <f>T150/100*(53)*25.82</f>
        <v>72706.2798</v>
      </c>
      <c r="BI150" s="37">
        <f t="shared" si="9"/>
        <v>104943.96990000001</v>
      </c>
      <c r="BJ150" s="36">
        <v>135000</v>
      </c>
      <c r="BK150" s="37">
        <f t="shared" si="12"/>
        <v>239943.96990000003</v>
      </c>
      <c r="BL150" s="38">
        <v>1.1731500000000001</v>
      </c>
      <c r="BM150" s="38">
        <f t="shared" si="10"/>
        <v>3.3731500000000003</v>
      </c>
      <c r="BN150" s="37">
        <v>53571.428571428565</v>
      </c>
    </row>
    <row r="151" spans="1:66" s="17" customFormat="1" ht="45">
      <c r="A151" s="13" t="s">
        <v>457</v>
      </c>
      <c r="B151" s="2">
        <v>2306</v>
      </c>
      <c r="C151" s="3" t="s">
        <v>33</v>
      </c>
      <c r="D151" s="3" t="s">
        <v>91</v>
      </c>
      <c r="E151" s="3"/>
      <c r="F151" s="11" t="s">
        <v>35</v>
      </c>
      <c r="G151" s="3" t="s">
        <v>36</v>
      </c>
      <c r="H151" s="14" t="s">
        <v>36</v>
      </c>
      <c r="I151" s="31" t="s">
        <v>466</v>
      </c>
      <c r="J151" s="31">
        <v>612</v>
      </c>
      <c r="K151" s="14" t="s">
        <v>471</v>
      </c>
      <c r="L151" s="18"/>
      <c r="M151" s="18"/>
      <c r="N151" s="18"/>
      <c r="O151" s="18"/>
      <c r="P151" s="18"/>
      <c r="Q151" s="18"/>
      <c r="R151" s="18">
        <v>3278</v>
      </c>
      <c r="S151" s="32"/>
      <c r="T151" s="18">
        <f>R151/100*77</f>
        <v>2524.06</v>
      </c>
      <c r="U151" s="14" t="s">
        <v>40</v>
      </c>
      <c r="V151" s="18">
        <v>3091</v>
      </c>
      <c r="W151" s="14" t="s">
        <v>40</v>
      </c>
      <c r="X151" s="18">
        <v>157</v>
      </c>
      <c r="Y151" s="14" t="s">
        <v>40</v>
      </c>
      <c r="Z151" s="33" t="s">
        <v>288</v>
      </c>
      <c r="AA151" s="14" t="s">
        <v>35</v>
      </c>
      <c r="AB151" s="18" t="s">
        <v>289</v>
      </c>
      <c r="AC151" s="14" t="s">
        <v>35</v>
      </c>
      <c r="AD151" s="18">
        <v>600</v>
      </c>
      <c r="AE151" s="18">
        <v>3</v>
      </c>
      <c r="AF151" s="18">
        <v>60</v>
      </c>
      <c r="AG151" s="14" t="s">
        <v>42</v>
      </c>
      <c r="AH151" s="14">
        <v>0</v>
      </c>
      <c r="AI151" s="20">
        <v>0</v>
      </c>
      <c r="AJ151" s="14">
        <v>3</v>
      </c>
      <c r="AK151" s="14" t="s">
        <v>40</v>
      </c>
      <c r="AL151" s="14">
        <v>7</v>
      </c>
      <c r="AM151" s="14">
        <v>150</v>
      </c>
      <c r="AN151" s="14" t="s">
        <v>42</v>
      </c>
      <c r="AO151" s="14">
        <v>3</v>
      </c>
      <c r="AP151" s="14">
        <v>37</v>
      </c>
      <c r="AQ151" s="14" t="s">
        <v>40</v>
      </c>
      <c r="AR151" s="14" t="s">
        <v>38</v>
      </c>
      <c r="AS151" s="34"/>
      <c r="AT151" s="34"/>
      <c r="AU151" s="14" t="s">
        <v>35</v>
      </c>
      <c r="AV151" s="14" t="s">
        <v>35</v>
      </c>
      <c r="AW151" s="14" t="s">
        <v>38</v>
      </c>
      <c r="AX151" s="29"/>
      <c r="AY151" s="29"/>
      <c r="AZ151" s="29">
        <v>17</v>
      </c>
      <c r="BA151" s="29">
        <v>1090</v>
      </c>
      <c r="BB151" s="14" t="s">
        <v>40</v>
      </c>
      <c r="BC151" s="14">
        <v>7</v>
      </c>
      <c r="BD151" s="14">
        <v>2.5</v>
      </c>
      <c r="BE151" s="14" t="s">
        <v>40</v>
      </c>
      <c r="BF151" s="35" t="s">
        <v>290</v>
      </c>
      <c r="BG151" s="36">
        <f>T151/100*(47)*8.9</f>
        <v>10558.14298</v>
      </c>
      <c r="BH151" s="36">
        <f>T151/100*(53)*17.79</f>
        <v>23798.604521999998</v>
      </c>
      <c r="BI151" s="37">
        <f t="shared" si="9"/>
        <v>34356.747502</v>
      </c>
      <c r="BJ151" s="36">
        <v>41440</v>
      </c>
      <c r="BK151" s="37">
        <f t="shared" si="12"/>
        <v>75796.747502</v>
      </c>
      <c r="BL151" s="38">
        <v>1.3331250000000001</v>
      </c>
      <c r="BM151" s="38">
        <f t="shared" si="10"/>
        <v>3.833125</v>
      </c>
      <c r="BN151" s="37">
        <v>7785.714285714286</v>
      </c>
    </row>
    <row r="152" spans="1:66" s="17" customFormat="1" ht="30">
      <c r="A152" s="3" t="s">
        <v>369</v>
      </c>
      <c r="B152" s="2">
        <v>2138</v>
      </c>
      <c r="C152" s="3" t="s">
        <v>33</v>
      </c>
      <c r="D152" s="16" t="s">
        <v>44</v>
      </c>
      <c r="E152" s="16" t="s">
        <v>35</v>
      </c>
      <c r="F152" s="11" t="s">
        <v>35</v>
      </c>
      <c r="G152" s="3" t="s">
        <v>139</v>
      </c>
      <c r="H152" s="14" t="s">
        <v>139</v>
      </c>
      <c r="I152" s="31" t="s">
        <v>465</v>
      </c>
      <c r="J152" s="31">
        <v>1500</v>
      </c>
      <c r="K152" s="14" t="s">
        <v>473</v>
      </c>
      <c r="L152" s="18">
        <v>16767</v>
      </c>
      <c r="M152" s="18">
        <v>0</v>
      </c>
      <c r="N152" s="18">
        <v>38158</v>
      </c>
      <c r="O152" s="18">
        <v>51856</v>
      </c>
      <c r="P152" s="18">
        <v>40764</v>
      </c>
      <c r="Q152" s="18">
        <v>53635</v>
      </c>
      <c r="R152" s="18">
        <v>50917</v>
      </c>
      <c r="S152" s="32">
        <f>(R152-Q152)/R152</f>
        <v>-0.05338099259579315</v>
      </c>
      <c r="T152" s="18">
        <f>R152/100*68</f>
        <v>34623.56</v>
      </c>
      <c r="U152" s="14" t="s">
        <v>42</v>
      </c>
      <c r="V152" s="18">
        <v>3551</v>
      </c>
      <c r="W152" s="14" t="s">
        <v>37</v>
      </c>
      <c r="X152" s="18">
        <v>44037</v>
      </c>
      <c r="Y152" s="14" t="s">
        <v>42</v>
      </c>
      <c r="Z152" s="33" t="s">
        <v>37</v>
      </c>
      <c r="AA152" s="14" t="s">
        <v>35</v>
      </c>
      <c r="AB152" s="18" t="s">
        <v>370</v>
      </c>
      <c r="AC152" s="14" t="s">
        <v>35</v>
      </c>
      <c r="AD152" s="18" t="s">
        <v>371</v>
      </c>
      <c r="AE152" s="18">
        <v>161</v>
      </c>
      <c r="AF152" s="18">
        <v>4601</v>
      </c>
      <c r="AG152" s="14" t="s">
        <v>42</v>
      </c>
      <c r="AH152" s="14" t="s">
        <v>37</v>
      </c>
      <c r="AI152" s="20">
        <v>15440</v>
      </c>
      <c r="AJ152" s="14" t="s">
        <v>37</v>
      </c>
      <c r="AK152" s="14" t="s">
        <v>37</v>
      </c>
      <c r="AL152" s="14" t="s">
        <v>37</v>
      </c>
      <c r="AM152" s="14" t="s">
        <v>37</v>
      </c>
      <c r="AN152" s="14" t="s">
        <v>37</v>
      </c>
      <c r="AO152" s="14" t="s">
        <v>37</v>
      </c>
      <c r="AP152" s="14" t="s">
        <v>37</v>
      </c>
      <c r="AQ152" s="14" t="s">
        <v>37</v>
      </c>
      <c r="AR152" s="14" t="s">
        <v>38</v>
      </c>
      <c r="AS152" s="34"/>
      <c r="AT152" s="34"/>
      <c r="AU152" s="14" t="s">
        <v>38</v>
      </c>
      <c r="AV152" s="14" t="s">
        <v>38</v>
      </c>
      <c r="AW152" s="14" t="s">
        <v>38</v>
      </c>
      <c r="AX152" s="29">
        <v>65</v>
      </c>
      <c r="AY152" s="29">
        <v>3500</v>
      </c>
      <c r="AZ152" s="29">
        <v>70</v>
      </c>
      <c r="BA152" s="29">
        <v>3000</v>
      </c>
      <c r="BB152" s="14" t="s">
        <v>42</v>
      </c>
      <c r="BC152" s="14">
        <v>8</v>
      </c>
      <c r="BD152" s="14">
        <v>4.6</v>
      </c>
      <c r="BE152" s="14" t="s">
        <v>40</v>
      </c>
      <c r="BF152" s="35" t="s">
        <v>37</v>
      </c>
      <c r="BG152" s="36">
        <f>T152/100*(31)*17.99</f>
        <v>193092.13176399996</v>
      </c>
      <c r="BH152" s="36">
        <f>T152/100*(69)*35.98</f>
        <v>859571.4252719999</v>
      </c>
      <c r="BI152" s="37">
        <f t="shared" si="9"/>
        <v>1052663.5570359998</v>
      </c>
      <c r="BJ152" s="36"/>
      <c r="BK152" s="37">
        <f t="shared" si="12"/>
        <v>1052663.5570359998</v>
      </c>
      <c r="BL152" s="38">
        <v>1.9406249999999998</v>
      </c>
      <c r="BM152" s="38">
        <f t="shared" si="10"/>
        <v>6.5406249999999995</v>
      </c>
      <c r="BN152" s="37">
        <v>21428.571428571428</v>
      </c>
    </row>
    <row r="153" spans="1:66" s="17" customFormat="1" ht="165">
      <c r="A153" s="21" t="s">
        <v>372</v>
      </c>
      <c r="B153" s="15"/>
      <c r="C153" s="3" t="s">
        <v>209</v>
      </c>
      <c r="D153" s="15" t="s">
        <v>50</v>
      </c>
      <c r="E153" s="15"/>
      <c r="F153" s="11" t="s">
        <v>35</v>
      </c>
      <c r="G153" s="15" t="s">
        <v>36</v>
      </c>
      <c r="H153" s="14" t="s">
        <v>37</v>
      </c>
      <c r="I153" s="31" t="s">
        <v>466</v>
      </c>
      <c r="J153" s="31">
        <v>716</v>
      </c>
      <c r="K153" s="14" t="s">
        <v>471</v>
      </c>
      <c r="L153" s="18"/>
      <c r="M153" s="18"/>
      <c r="N153" s="18"/>
      <c r="O153" s="18"/>
      <c r="P153" s="18"/>
      <c r="Q153" s="18"/>
      <c r="R153" s="18">
        <v>5853</v>
      </c>
      <c r="S153" s="32"/>
      <c r="T153" s="18">
        <f>R153/100*77</f>
        <v>4506.81</v>
      </c>
      <c r="U153" s="14" t="s">
        <v>40</v>
      </c>
      <c r="V153" s="18">
        <v>5847</v>
      </c>
      <c r="W153" s="14" t="s">
        <v>40</v>
      </c>
      <c r="X153" s="18" t="s">
        <v>373</v>
      </c>
      <c r="Y153" s="14" t="s">
        <v>40</v>
      </c>
      <c r="Z153" s="33" t="s">
        <v>38</v>
      </c>
      <c r="AA153" s="14" t="s">
        <v>35</v>
      </c>
      <c r="AB153" s="18">
        <v>41746</v>
      </c>
      <c r="AC153" s="14" t="s">
        <v>35</v>
      </c>
      <c r="AD153" s="18" t="s">
        <v>374</v>
      </c>
      <c r="AE153" s="18">
        <v>8</v>
      </c>
      <c r="AF153" s="18">
        <v>206</v>
      </c>
      <c r="AG153" s="14" t="s">
        <v>40</v>
      </c>
      <c r="AH153" s="14">
        <v>20</v>
      </c>
      <c r="AI153" s="20">
        <v>545</v>
      </c>
      <c r="AJ153" s="14">
        <v>17</v>
      </c>
      <c r="AK153" s="14" t="s">
        <v>40</v>
      </c>
      <c r="AL153" s="14">
        <v>26</v>
      </c>
      <c r="AM153" s="14">
        <v>537</v>
      </c>
      <c r="AN153" s="14" t="s">
        <v>40</v>
      </c>
      <c r="AO153" s="14">
        <v>16</v>
      </c>
      <c r="AP153" s="29">
        <v>1499</v>
      </c>
      <c r="AQ153" s="14" t="s">
        <v>40</v>
      </c>
      <c r="AR153" s="14" t="s">
        <v>35</v>
      </c>
      <c r="AS153" s="34">
        <v>5</v>
      </c>
      <c r="AT153" s="34" t="s">
        <v>53</v>
      </c>
      <c r="AU153" s="14" t="s">
        <v>35</v>
      </c>
      <c r="AV153" s="14" t="s">
        <v>35</v>
      </c>
      <c r="AW153" s="14" t="s">
        <v>38</v>
      </c>
      <c r="AX153" s="29"/>
      <c r="AY153" s="29"/>
      <c r="AZ153" s="29">
        <v>22</v>
      </c>
      <c r="BA153" s="29">
        <v>840.5</v>
      </c>
      <c r="BB153" s="14" t="s">
        <v>40</v>
      </c>
      <c r="BC153" s="14">
        <v>19</v>
      </c>
      <c r="BD153" s="14">
        <v>15</v>
      </c>
      <c r="BE153" s="14" t="s">
        <v>40</v>
      </c>
      <c r="BF153" s="35" t="s">
        <v>375</v>
      </c>
      <c r="BG153" s="36">
        <f>T153/100*(47)*12.86</f>
        <v>27240.061002</v>
      </c>
      <c r="BH153" s="36">
        <f>T153/100*(53)*25.73</f>
        <v>61458.917289000005</v>
      </c>
      <c r="BI153" s="37">
        <f t="shared" si="9"/>
        <v>88698.978291</v>
      </c>
      <c r="BJ153" s="36">
        <v>53612</v>
      </c>
      <c r="BK153" s="37">
        <f t="shared" si="12"/>
        <v>142310.978291</v>
      </c>
      <c r="BL153" s="38">
        <v>7.99875</v>
      </c>
      <c r="BM153" s="38">
        <f t="shared" si="10"/>
        <v>22.99875</v>
      </c>
      <c r="BN153" s="37">
        <v>6003.571428571428</v>
      </c>
    </row>
    <row r="154" spans="1:66" s="17" customFormat="1" ht="108.75" customHeight="1">
      <c r="A154" s="3" t="s">
        <v>376</v>
      </c>
      <c r="B154" s="2">
        <v>2203</v>
      </c>
      <c r="C154" s="3" t="s">
        <v>60</v>
      </c>
      <c r="D154" s="16" t="s">
        <v>50</v>
      </c>
      <c r="E154" s="16"/>
      <c r="F154" s="11"/>
      <c r="G154" s="3" t="s">
        <v>36</v>
      </c>
      <c r="H154" s="14"/>
      <c r="I154" s="39"/>
      <c r="J154" s="39"/>
      <c r="K154" s="14"/>
      <c r="L154" s="18"/>
      <c r="M154" s="18"/>
      <c r="N154" s="18"/>
      <c r="O154" s="18"/>
      <c r="P154" s="18"/>
      <c r="Q154" s="18"/>
      <c r="R154" s="18"/>
      <c r="S154" s="32"/>
      <c r="T154" s="18"/>
      <c r="U154" s="14"/>
      <c r="V154" s="18"/>
      <c r="W154" s="14"/>
      <c r="X154" s="18"/>
      <c r="Y154" s="14"/>
      <c r="Z154" s="33"/>
      <c r="AA154" s="14" t="s">
        <v>35</v>
      </c>
      <c r="AB154" s="18"/>
      <c r="AC154" s="14"/>
      <c r="AD154" s="18"/>
      <c r="AE154" s="18"/>
      <c r="AF154" s="18"/>
      <c r="AG154" s="14"/>
      <c r="AH154" s="14"/>
      <c r="AI154" s="20"/>
      <c r="AJ154" s="14"/>
      <c r="AK154" s="14"/>
      <c r="AL154" s="14"/>
      <c r="AM154" s="14"/>
      <c r="AN154" s="14"/>
      <c r="AO154" s="14"/>
      <c r="AP154" s="14"/>
      <c r="AQ154" s="14"/>
      <c r="AR154" s="14" t="s">
        <v>35</v>
      </c>
      <c r="AS154" s="34" t="s">
        <v>46</v>
      </c>
      <c r="AT154" s="34" t="s">
        <v>46</v>
      </c>
      <c r="AU154" s="14" t="s">
        <v>35</v>
      </c>
      <c r="AV154" s="14"/>
      <c r="AW154" s="14"/>
      <c r="AX154" s="29"/>
      <c r="AY154" s="29"/>
      <c r="AZ154" s="29"/>
      <c r="BA154" s="29"/>
      <c r="BB154" s="14"/>
      <c r="BC154" s="14"/>
      <c r="BD154" s="14"/>
      <c r="BE154" s="14"/>
      <c r="BF154" s="35"/>
      <c r="BG154" s="36"/>
      <c r="BH154" s="36"/>
      <c r="BI154" s="37"/>
      <c r="BJ154" s="36"/>
      <c r="BK154" s="37"/>
      <c r="BL154" s="38"/>
      <c r="BM154" s="38">
        <f t="shared" si="10"/>
        <v>0</v>
      </c>
      <c r="BN154" s="37"/>
    </row>
    <row r="155" spans="1:66" s="17" customFormat="1" ht="46.5" customHeight="1">
      <c r="A155" s="12" t="s">
        <v>377</v>
      </c>
      <c r="B155" s="2">
        <v>1327</v>
      </c>
      <c r="C155" s="3" t="s">
        <v>33</v>
      </c>
      <c r="D155" s="10" t="s">
        <v>34</v>
      </c>
      <c r="E155" s="10"/>
      <c r="F155" s="11"/>
      <c r="G155" s="3" t="s">
        <v>36</v>
      </c>
      <c r="H155" s="14"/>
      <c r="I155" s="39"/>
      <c r="J155" s="39"/>
      <c r="K155" s="14"/>
      <c r="L155" s="18">
        <v>13500</v>
      </c>
      <c r="M155" s="18">
        <v>11000</v>
      </c>
      <c r="N155" s="18">
        <v>6000</v>
      </c>
      <c r="O155" s="18">
        <v>12000</v>
      </c>
      <c r="P155" s="18"/>
      <c r="Q155" s="18"/>
      <c r="R155" s="18"/>
      <c r="S155" s="32"/>
      <c r="T155" s="18"/>
      <c r="U155" s="14"/>
      <c r="V155" s="18"/>
      <c r="W155" s="14"/>
      <c r="X155" s="18"/>
      <c r="Y155" s="14"/>
      <c r="Z155" s="33"/>
      <c r="AA155" s="14" t="s">
        <v>35</v>
      </c>
      <c r="AB155" s="18"/>
      <c r="AC155" s="14"/>
      <c r="AD155" s="18"/>
      <c r="AE155" s="18"/>
      <c r="AF155" s="18"/>
      <c r="AG155" s="14"/>
      <c r="AH155" s="14"/>
      <c r="AI155" s="20"/>
      <c r="AJ155" s="14"/>
      <c r="AK155" s="14"/>
      <c r="AL155" s="14"/>
      <c r="AM155" s="14"/>
      <c r="AN155" s="14"/>
      <c r="AO155" s="14"/>
      <c r="AP155" s="14"/>
      <c r="AQ155" s="14"/>
      <c r="AR155" s="14" t="s">
        <v>35</v>
      </c>
      <c r="AS155" s="34">
        <v>1</v>
      </c>
      <c r="AT155" s="34" t="s">
        <v>53</v>
      </c>
      <c r="AU155" s="14" t="s">
        <v>35</v>
      </c>
      <c r="AV155" s="14"/>
      <c r="AW155" s="14"/>
      <c r="AX155" s="29"/>
      <c r="AY155" s="29"/>
      <c r="AZ155" s="29"/>
      <c r="BA155" s="29"/>
      <c r="BB155" s="14"/>
      <c r="BC155" s="14"/>
      <c r="BD155" s="14"/>
      <c r="BE155" s="14"/>
      <c r="BF155" s="35"/>
      <c r="BG155" s="36"/>
      <c r="BH155" s="36"/>
      <c r="BI155" s="37"/>
      <c r="BJ155" s="36"/>
      <c r="BK155" s="37"/>
      <c r="BL155" s="38"/>
      <c r="BM155" s="38">
        <f t="shared" si="10"/>
        <v>0</v>
      </c>
      <c r="BN155" s="37"/>
    </row>
    <row r="156" spans="1:66" s="17" customFormat="1" ht="60">
      <c r="A156" s="13" t="s">
        <v>378</v>
      </c>
      <c r="B156" s="2">
        <v>673</v>
      </c>
      <c r="C156" s="3" t="s">
        <v>33</v>
      </c>
      <c r="D156" s="16" t="s">
        <v>44</v>
      </c>
      <c r="E156" s="16"/>
      <c r="F156" s="11" t="s">
        <v>35</v>
      </c>
      <c r="G156" s="3" t="s">
        <v>36</v>
      </c>
      <c r="H156" s="14" t="s">
        <v>37</v>
      </c>
      <c r="I156" s="31" t="s">
        <v>466</v>
      </c>
      <c r="J156" s="31">
        <v>83</v>
      </c>
      <c r="K156" s="14" t="s">
        <v>471</v>
      </c>
      <c r="L156" s="18">
        <v>347</v>
      </c>
      <c r="M156" s="18">
        <v>735</v>
      </c>
      <c r="N156" s="18">
        <v>562</v>
      </c>
      <c r="O156" s="18">
        <v>562</v>
      </c>
      <c r="P156" s="18">
        <v>711</v>
      </c>
      <c r="Q156" s="18">
        <v>461</v>
      </c>
      <c r="R156" s="18">
        <v>846</v>
      </c>
      <c r="S156" s="32">
        <f>(R156-Q156)/R156</f>
        <v>0.45508274231678486</v>
      </c>
      <c r="T156" s="18">
        <f>R156/100*77</f>
        <v>651.4200000000001</v>
      </c>
      <c r="U156" s="14" t="s">
        <v>40</v>
      </c>
      <c r="V156" s="18" t="s">
        <v>41</v>
      </c>
      <c r="W156" s="14" t="s">
        <v>37</v>
      </c>
      <c r="X156" s="18" t="s">
        <v>41</v>
      </c>
      <c r="Y156" s="14" t="s">
        <v>37</v>
      </c>
      <c r="Z156" s="33" t="s">
        <v>379</v>
      </c>
      <c r="AA156" s="14" t="s">
        <v>35</v>
      </c>
      <c r="AB156" s="18" t="s">
        <v>51</v>
      </c>
      <c r="AC156" s="14" t="s">
        <v>35</v>
      </c>
      <c r="AD156" s="18" t="s">
        <v>51</v>
      </c>
      <c r="AE156" s="18">
        <v>0</v>
      </c>
      <c r="AF156" s="18">
        <v>0</v>
      </c>
      <c r="AG156" s="14" t="s">
        <v>40</v>
      </c>
      <c r="AH156" s="14">
        <v>0</v>
      </c>
      <c r="AI156" s="20">
        <v>0</v>
      </c>
      <c r="AJ156" s="14">
        <v>0</v>
      </c>
      <c r="AK156" s="14" t="s">
        <v>40</v>
      </c>
      <c r="AL156" s="14">
        <v>4</v>
      </c>
      <c r="AM156" s="14">
        <v>100</v>
      </c>
      <c r="AN156" s="14" t="s">
        <v>42</v>
      </c>
      <c r="AO156" s="14">
        <v>2</v>
      </c>
      <c r="AP156" s="14">
        <v>55</v>
      </c>
      <c r="AQ156" s="14" t="s">
        <v>42</v>
      </c>
      <c r="AR156" s="14" t="s">
        <v>38</v>
      </c>
      <c r="AS156" s="34"/>
      <c r="AT156" s="34"/>
      <c r="AU156" s="14" t="s">
        <v>35</v>
      </c>
      <c r="AV156" s="14" t="s">
        <v>38</v>
      </c>
      <c r="AW156" s="14" t="s">
        <v>38</v>
      </c>
      <c r="AX156" s="29">
        <v>32</v>
      </c>
      <c r="AY156" s="29">
        <v>750</v>
      </c>
      <c r="AZ156" s="29">
        <v>35</v>
      </c>
      <c r="BA156" s="29">
        <v>570</v>
      </c>
      <c r="BB156" s="14" t="s">
        <v>42</v>
      </c>
      <c r="BC156" s="14">
        <v>0</v>
      </c>
      <c r="BD156" s="14">
        <v>0</v>
      </c>
      <c r="BE156" s="14" t="s">
        <v>40</v>
      </c>
      <c r="BF156" s="35" t="s">
        <v>380</v>
      </c>
      <c r="BG156" s="36">
        <f>T156/100*(47)*17.99</f>
        <v>5507.951526000001</v>
      </c>
      <c r="BH156" s="36">
        <f>T156/100*(53)*35.98</f>
        <v>12422.188548</v>
      </c>
      <c r="BI156" s="37">
        <f t="shared" si="9"/>
        <v>17930.140074000003</v>
      </c>
      <c r="BJ156" s="36">
        <v>6288</v>
      </c>
      <c r="BK156" s="37">
        <f>BJ156+BI156</f>
        <v>24218.140074000003</v>
      </c>
      <c r="BL156" s="38">
        <v>0</v>
      </c>
      <c r="BM156" s="38">
        <f t="shared" si="10"/>
        <v>0</v>
      </c>
      <c r="BN156" s="37">
        <v>4071.4285714285716</v>
      </c>
    </row>
    <row r="157" spans="1:66" s="17" customFormat="1" ht="45">
      <c r="A157" s="3" t="s">
        <v>381</v>
      </c>
      <c r="B157" s="2">
        <v>736</v>
      </c>
      <c r="C157" s="3" t="s">
        <v>33</v>
      </c>
      <c r="D157" s="10" t="s">
        <v>34</v>
      </c>
      <c r="E157" s="10" t="s">
        <v>109</v>
      </c>
      <c r="F157" s="11" t="s">
        <v>35</v>
      </c>
      <c r="G157" s="3" t="s">
        <v>67</v>
      </c>
      <c r="H157" s="8" t="s">
        <v>67</v>
      </c>
      <c r="I157" s="40" t="s">
        <v>465</v>
      </c>
      <c r="J157" s="40" t="s">
        <v>439</v>
      </c>
      <c r="K157" s="8" t="s">
        <v>472</v>
      </c>
      <c r="L157" s="18"/>
      <c r="M157" s="18"/>
      <c r="N157" s="18">
        <v>31155</v>
      </c>
      <c r="O157" s="18">
        <v>28524</v>
      </c>
      <c r="P157" s="18">
        <v>27652</v>
      </c>
      <c r="Q157" s="18">
        <v>30595</v>
      </c>
      <c r="R157" s="18">
        <v>35064</v>
      </c>
      <c r="S157" s="32">
        <f>(R157-Q157)/R157</f>
        <v>0.12745265799680583</v>
      </c>
      <c r="T157" s="18">
        <f>R157/100*73</f>
        <v>25596.719999999998</v>
      </c>
      <c r="U157" s="8" t="s">
        <v>40</v>
      </c>
      <c r="V157" s="18">
        <v>22059</v>
      </c>
      <c r="W157" s="8" t="s">
        <v>40</v>
      </c>
      <c r="X157" s="18">
        <v>13005</v>
      </c>
      <c r="Y157" s="8" t="s">
        <v>40</v>
      </c>
      <c r="Z157" s="41" t="s">
        <v>432</v>
      </c>
      <c r="AA157" s="8" t="s">
        <v>35</v>
      </c>
      <c r="AB157" s="18" t="s">
        <v>37</v>
      </c>
      <c r="AC157" s="8" t="s">
        <v>35</v>
      </c>
      <c r="AD157" s="18">
        <v>4342</v>
      </c>
      <c r="AE157" s="18">
        <v>217</v>
      </c>
      <c r="AF157" s="18">
        <v>8640</v>
      </c>
      <c r="AG157" s="45" t="s">
        <v>40</v>
      </c>
      <c r="AH157" s="8">
        <v>10</v>
      </c>
      <c r="AI157" s="42">
        <v>531</v>
      </c>
      <c r="AJ157" s="8">
        <v>172</v>
      </c>
      <c r="AK157" s="8" t="s">
        <v>40</v>
      </c>
      <c r="AL157" s="8">
        <v>83</v>
      </c>
      <c r="AM157" s="8">
        <v>3380</v>
      </c>
      <c r="AN157" s="8" t="s">
        <v>40</v>
      </c>
      <c r="AO157" s="8">
        <v>2</v>
      </c>
      <c r="AP157" s="8">
        <v>149</v>
      </c>
      <c r="AQ157" s="8" t="s">
        <v>40</v>
      </c>
      <c r="AR157" s="8" t="s">
        <v>35</v>
      </c>
      <c r="AS157" s="34">
        <v>5.5</v>
      </c>
      <c r="AT157" s="34">
        <v>4.4</v>
      </c>
      <c r="AU157" s="8" t="s">
        <v>35</v>
      </c>
      <c r="AV157" s="8" t="s">
        <v>35</v>
      </c>
      <c r="AW157" s="8" t="s">
        <v>38</v>
      </c>
      <c r="AX157" s="29"/>
      <c r="AY157" s="29"/>
      <c r="AZ157" s="29" t="s">
        <v>424</v>
      </c>
      <c r="BA157" s="29" t="s">
        <v>424</v>
      </c>
      <c r="BB157" s="45" t="s">
        <v>37</v>
      </c>
      <c r="BC157" s="45" t="s">
        <v>424</v>
      </c>
      <c r="BD157" s="45" t="s">
        <v>424</v>
      </c>
      <c r="BE157" s="45" t="s">
        <v>37</v>
      </c>
      <c r="BF157" s="46" t="s">
        <v>440</v>
      </c>
      <c r="BG157" s="36">
        <f>T157/100*(44)*14.08</f>
        <v>158576.799744</v>
      </c>
      <c r="BH157" s="36">
        <f>T157/100*(56)*28.16</f>
        <v>403650.0357119999</v>
      </c>
      <c r="BI157" s="37">
        <f t="shared" si="9"/>
        <v>562226.835456</v>
      </c>
      <c r="BJ157" s="36"/>
      <c r="BK157" s="37">
        <f>BJ157+BI157</f>
        <v>562226.835456</v>
      </c>
      <c r="BL157" s="44"/>
      <c r="BM157" s="38"/>
      <c r="BN157" s="37"/>
    </row>
    <row r="158" spans="1:66" s="17" customFormat="1" ht="30">
      <c r="A158" s="12" t="s">
        <v>382</v>
      </c>
      <c r="B158" s="2">
        <v>738</v>
      </c>
      <c r="C158" s="3" t="s">
        <v>33</v>
      </c>
      <c r="D158" s="10" t="s">
        <v>34</v>
      </c>
      <c r="E158" s="10" t="s">
        <v>109</v>
      </c>
      <c r="F158" s="11" t="s">
        <v>35</v>
      </c>
      <c r="G158" s="3" t="s">
        <v>67</v>
      </c>
      <c r="H158" s="8" t="s">
        <v>67</v>
      </c>
      <c r="I158" s="40" t="s">
        <v>465</v>
      </c>
      <c r="J158" s="40" t="s">
        <v>441</v>
      </c>
      <c r="K158" s="8" t="s">
        <v>471</v>
      </c>
      <c r="L158" s="18"/>
      <c r="M158" s="18"/>
      <c r="N158" s="18">
        <v>5170</v>
      </c>
      <c r="O158" s="18">
        <v>4198</v>
      </c>
      <c r="P158" s="18">
        <v>4884</v>
      </c>
      <c r="Q158" s="18">
        <v>4228</v>
      </c>
      <c r="R158" s="18">
        <v>4348</v>
      </c>
      <c r="S158" s="32">
        <f>(R158-Q158)/R158</f>
        <v>0.027598896044158234</v>
      </c>
      <c r="T158" s="18">
        <f>R158/100*77</f>
        <v>3347.9599999999996</v>
      </c>
      <c r="U158" s="8" t="s">
        <v>40</v>
      </c>
      <c r="V158" s="18">
        <v>3293</v>
      </c>
      <c r="W158" s="8" t="s">
        <v>40</v>
      </c>
      <c r="X158" s="18">
        <v>1055</v>
      </c>
      <c r="Y158" s="8" t="s">
        <v>40</v>
      </c>
      <c r="Z158" s="41" t="s">
        <v>432</v>
      </c>
      <c r="AA158" s="8" t="s">
        <v>35</v>
      </c>
      <c r="AB158" s="18" t="s">
        <v>37</v>
      </c>
      <c r="AC158" s="8" t="s">
        <v>35</v>
      </c>
      <c r="AD158" s="18" t="s">
        <v>442</v>
      </c>
      <c r="AE158" s="18">
        <v>10</v>
      </c>
      <c r="AF158" s="18">
        <v>347</v>
      </c>
      <c r="AG158" s="8" t="s">
        <v>40</v>
      </c>
      <c r="AH158" s="8">
        <v>0</v>
      </c>
      <c r="AI158" s="42">
        <v>0</v>
      </c>
      <c r="AJ158" s="8">
        <v>9</v>
      </c>
      <c r="AK158" s="8" t="s">
        <v>40</v>
      </c>
      <c r="AL158" s="8">
        <v>29</v>
      </c>
      <c r="AM158" s="8">
        <v>982</v>
      </c>
      <c r="AN158" s="8" t="s">
        <v>40</v>
      </c>
      <c r="AO158" s="8">
        <v>0</v>
      </c>
      <c r="AP158" s="8">
        <v>0</v>
      </c>
      <c r="AQ158" s="8" t="s">
        <v>40</v>
      </c>
      <c r="AR158" s="8" t="s">
        <v>35</v>
      </c>
      <c r="AS158" s="34">
        <v>3.7</v>
      </c>
      <c r="AT158" s="34">
        <v>3</v>
      </c>
      <c r="AU158" s="8" t="s">
        <v>35</v>
      </c>
      <c r="AV158" s="8" t="s">
        <v>38</v>
      </c>
      <c r="AW158" s="8" t="s">
        <v>38</v>
      </c>
      <c r="AX158" s="29">
        <v>40</v>
      </c>
      <c r="AY158" s="29">
        <v>5000</v>
      </c>
      <c r="AZ158" s="29" t="s">
        <v>424</v>
      </c>
      <c r="BA158" s="29" t="s">
        <v>424</v>
      </c>
      <c r="BB158" s="8" t="s">
        <v>37</v>
      </c>
      <c r="BC158" s="8" t="s">
        <v>424</v>
      </c>
      <c r="BD158" s="8" t="s">
        <v>424</v>
      </c>
      <c r="BE158" s="8" t="s">
        <v>37</v>
      </c>
      <c r="BF158" s="43" t="s">
        <v>433</v>
      </c>
      <c r="BG158" s="36">
        <f>T158/100*(47)*14.08</f>
        <v>22155.460096</v>
      </c>
      <c r="BH158" s="36">
        <f>T158/100*(53)*28.16</f>
        <v>49967.633408</v>
      </c>
      <c r="BI158" s="37">
        <f t="shared" si="9"/>
        <v>72123.093504</v>
      </c>
      <c r="BJ158" s="36"/>
      <c r="BK158" s="37">
        <f>BJ158+BI158</f>
        <v>72123.093504</v>
      </c>
      <c r="BL158" s="44"/>
      <c r="BM158" s="38"/>
      <c r="BN158" s="37"/>
    </row>
    <row r="159" spans="1:66" s="17" customFormat="1" ht="46.5" customHeight="1">
      <c r="A159" s="3" t="s">
        <v>383</v>
      </c>
      <c r="B159" s="2">
        <v>858</v>
      </c>
      <c r="C159" s="3" t="s">
        <v>33</v>
      </c>
      <c r="D159" s="10" t="s">
        <v>34</v>
      </c>
      <c r="E159" s="10"/>
      <c r="F159" s="11"/>
      <c r="G159" s="3" t="s">
        <v>36</v>
      </c>
      <c r="H159" s="14"/>
      <c r="I159" s="39"/>
      <c r="J159" s="39"/>
      <c r="K159" s="14"/>
      <c r="L159" s="18"/>
      <c r="M159" s="18"/>
      <c r="N159" s="18"/>
      <c r="O159" s="18"/>
      <c r="P159" s="18"/>
      <c r="Q159" s="18"/>
      <c r="R159" s="18"/>
      <c r="S159" s="32"/>
      <c r="T159" s="18"/>
      <c r="U159" s="14"/>
      <c r="V159" s="18"/>
      <c r="W159" s="14"/>
      <c r="X159" s="18"/>
      <c r="Y159" s="14"/>
      <c r="Z159" s="33"/>
      <c r="AA159" s="14" t="s">
        <v>35</v>
      </c>
      <c r="AB159" s="18"/>
      <c r="AC159" s="14"/>
      <c r="AD159" s="18"/>
      <c r="AE159" s="18"/>
      <c r="AF159" s="18"/>
      <c r="AG159" s="14"/>
      <c r="AH159" s="14"/>
      <c r="AI159" s="20"/>
      <c r="AJ159" s="14"/>
      <c r="AK159" s="14"/>
      <c r="AL159" s="14"/>
      <c r="AM159" s="14"/>
      <c r="AN159" s="14"/>
      <c r="AO159" s="14"/>
      <c r="AP159" s="14"/>
      <c r="AQ159" s="14"/>
      <c r="AR159" s="14" t="s">
        <v>35</v>
      </c>
      <c r="AS159" s="34">
        <v>3</v>
      </c>
      <c r="AT159" s="34">
        <v>1.5</v>
      </c>
      <c r="AU159" s="14" t="s">
        <v>35</v>
      </c>
      <c r="AV159" s="14"/>
      <c r="AW159" s="14"/>
      <c r="AX159" s="29"/>
      <c r="AY159" s="29"/>
      <c r="AZ159" s="29"/>
      <c r="BA159" s="29"/>
      <c r="BB159" s="14"/>
      <c r="BC159" s="14"/>
      <c r="BD159" s="14"/>
      <c r="BE159" s="14"/>
      <c r="BF159" s="35"/>
      <c r="BG159" s="36"/>
      <c r="BH159" s="36"/>
      <c r="BI159" s="37"/>
      <c r="BJ159" s="36"/>
      <c r="BK159" s="37"/>
      <c r="BL159" s="38"/>
      <c r="BM159" s="38">
        <f t="shared" si="10"/>
        <v>0</v>
      </c>
      <c r="BN159" s="37"/>
    </row>
    <row r="160" spans="1:66" s="17" customFormat="1" ht="75">
      <c r="A160" s="12" t="s">
        <v>455</v>
      </c>
      <c r="B160" s="2">
        <v>693</v>
      </c>
      <c r="C160" s="3" t="s">
        <v>60</v>
      </c>
      <c r="D160" s="16" t="s">
        <v>44</v>
      </c>
      <c r="E160" s="16"/>
      <c r="F160" s="11" t="s">
        <v>35</v>
      </c>
      <c r="G160" s="3" t="s">
        <v>139</v>
      </c>
      <c r="H160" s="14" t="s">
        <v>139</v>
      </c>
      <c r="I160" s="31" t="s">
        <v>204</v>
      </c>
      <c r="J160" s="31">
        <v>0</v>
      </c>
      <c r="K160" s="8" t="s">
        <v>46</v>
      </c>
      <c r="L160" s="18">
        <v>56112</v>
      </c>
      <c r="M160" s="18">
        <v>72321</v>
      </c>
      <c r="N160" s="18">
        <v>75029</v>
      </c>
      <c r="O160" s="18">
        <v>73268</v>
      </c>
      <c r="P160" s="18">
        <v>74786</v>
      </c>
      <c r="Q160" s="18"/>
      <c r="R160" s="18" t="s">
        <v>204</v>
      </c>
      <c r="S160" s="32"/>
      <c r="T160" s="18"/>
      <c r="U160" s="14" t="s">
        <v>40</v>
      </c>
      <c r="V160" s="18" t="s">
        <v>46</v>
      </c>
      <c r="W160" s="14" t="s">
        <v>40</v>
      </c>
      <c r="X160" s="18" t="s">
        <v>46</v>
      </c>
      <c r="Y160" s="14" t="s">
        <v>40</v>
      </c>
      <c r="Z160" s="33" t="s">
        <v>261</v>
      </c>
      <c r="AA160" s="14" t="s">
        <v>35</v>
      </c>
      <c r="AB160" s="18" t="s">
        <v>262</v>
      </c>
      <c r="AC160" s="14" t="s">
        <v>35</v>
      </c>
      <c r="AD160" s="18">
        <v>9567</v>
      </c>
      <c r="AE160" s="18">
        <v>0</v>
      </c>
      <c r="AF160" s="18">
        <v>0</v>
      </c>
      <c r="AG160" s="14" t="s">
        <v>40</v>
      </c>
      <c r="AH160" s="14">
        <v>106</v>
      </c>
      <c r="AI160" s="20">
        <v>2420</v>
      </c>
      <c r="AJ160" s="14">
        <v>42</v>
      </c>
      <c r="AK160" s="14" t="s">
        <v>40</v>
      </c>
      <c r="AL160" s="14">
        <v>10</v>
      </c>
      <c r="AM160" s="14">
        <v>495</v>
      </c>
      <c r="AN160" s="14" t="s">
        <v>42</v>
      </c>
      <c r="AO160" s="14">
        <v>10</v>
      </c>
      <c r="AP160" s="14">
        <v>39</v>
      </c>
      <c r="AQ160" s="14" t="s">
        <v>42</v>
      </c>
      <c r="AR160" s="14" t="s">
        <v>38</v>
      </c>
      <c r="AS160" s="34"/>
      <c r="AT160" s="34"/>
      <c r="AU160" s="14" t="s">
        <v>38</v>
      </c>
      <c r="AV160" s="14" t="s">
        <v>38</v>
      </c>
      <c r="AW160" s="14" t="s">
        <v>38</v>
      </c>
      <c r="AX160" s="29">
        <v>30</v>
      </c>
      <c r="AY160" s="29">
        <v>3000</v>
      </c>
      <c r="AZ160" s="29">
        <v>12</v>
      </c>
      <c r="BA160" s="29">
        <v>6780</v>
      </c>
      <c r="BB160" s="14" t="s">
        <v>40</v>
      </c>
      <c r="BC160" s="14">
        <v>10</v>
      </c>
      <c r="BD160" s="14">
        <v>5</v>
      </c>
      <c r="BE160" s="14" t="s">
        <v>40</v>
      </c>
      <c r="BF160" s="35" t="s">
        <v>263</v>
      </c>
      <c r="BG160" s="36"/>
      <c r="BH160" s="36"/>
      <c r="BI160" s="37"/>
      <c r="BJ160" s="36"/>
      <c r="BK160" s="37"/>
      <c r="BL160" s="38"/>
      <c r="BM160" s="38">
        <f t="shared" si="10"/>
        <v>5</v>
      </c>
      <c r="BN160" s="37">
        <v>48428.57142857143</v>
      </c>
    </row>
    <row r="161" spans="1:66" s="17" customFormat="1" ht="156" customHeight="1">
      <c r="A161" s="3" t="s">
        <v>462</v>
      </c>
      <c r="B161" s="2">
        <v>577</v>
      </c>
      <c r="C161" s="3" t="s">
        <v>33</v>
      </c>
      <c r="D161" s="16" t="s">
        <v>44</v>
      </c>
      <c r="E161" s="16" t="s">
        <v>35</v>
      </c>
      <c r="F161" s="11"/>
      <c r="G161" s="3" t="s">
        <v>139</v>
      </c>
      <c r="H161" s="14"/>
      <c r="I161" s="39"/>
      <c r="J161" s="39"/>
      <c r="K161" s="14"/>
      <c r="L161" s="18"/>
      <c r="M161" s="18"/>
      <c r="N161" s="18"/>
      <c r="O161" s="18"/>
      <c r="P161" s="18">
        <v>49818</v>
      </c>
      <c r="Q161" s="18">
        <v>66076</v>
      </c>
      <c r="R161" s="18"/>
      <c r="S161" s="32"/>
      <c r="T161" s="18"/>
      <c r="U161" s="14"/>
      <c r="V161" s="18"/>
      <c r="W161" s="14"/>
      <c r="X161" s="18"/>
      <c r="Y161" s="14"/>
      <c r="Z161" s="33"/>
      <c r="AA161" s="14" t="s">
        <v>35</v>
      </c>
      <c r="AB161" s="18"/>
      <c r="AC161" s="14"/>
      <c r="AD161" s="18"/>
      <c r="AE161" s="18"/>
      <c r="AF161" s="18"/>
      <c r="AG161" s="14"/>
      <c r="AH161" s="14"/>
      <c r="AI161" s="20"/>
      <c r="AJ161" s="14"/>
      <c r="AK161" s="14"/>
      <c r="AL161" s="14"/>
      <c r="AM161" s="14"/>
      <c r="AN161" s="14"/>
      <c r="AO161" s="14"/>
      <c r="AP161" s="14"/>
      <c r="AQ161" s="14"/>
      <c r="AR161" s="14" t="s">
        <v>38</v>
      </c>
      <c r="AS161" s="34"/>
      <c r="AT161" s="34"/>
      <c r="AU161" s="14" t="s">
        <v>35</v>
      </c>
      <c r="AV161" s="14"/>
      <c r="AW161" s="14"/>
      <c r="AX161" s="29">
        <v>64</v>
      </c>
      <c r="AY161" s="29">
        <v>4226</v>
      </c>
      <c r="AZ161" s="29"/>
      <c r="BA161" s="29"/>
      <c r="BB161" s="14"/>
      <c r="BC161" s="14"/>
      <c r="BD161" s="14"/>
      <c r="BE161" s="14"/>
      <c r="BF161" s="35"/>
      <c r="BG161" s="36"/>
      <c r="BH161" s="36"/>
      <c r="BI161" s="37"/>
      <c r="BJ161" s="36"/>
      <c r="BK161" s="37"/>
      <c r="BL161" s="38"/>
      <c r="BM161" s="38">
        <f t="shared" si="10"/>
        <v>0</v>
      </c>
      <c r="BN161" s="37"/>
    </row>
    <row r="162" spans="1:66" s="17" customFormat="1" ht="45">
      <c r="A162" s="3" t="s">
        <v>384</v>
      </c>
      <c r="B162" s="2"/>
      <c r="C162" s="3" t="s">
        <v>93</v>
      </c>
      <c r="D162" s="3" t="s">
        <v>57</v>
      </c>
      <c r="E162" s="3"/>
      <c r="F162" s="10" t="s">
        <v>35</v>
      </c>
      <c r="G162" s="3" t="s">
        <v>139</v>
      </c>
      <c r="H162" s="14" t="s">
        <v>139</v>
      </c>
      <c r="I162" s="31" t="s">
        <v>465</v>
      </c>
      <c r="J162" s="31">
        <v>2000</v>
      </c>
      <c r="K162" s="14" t="s">
        <v>472</v>
      </c>
      <c r="L162" s="18"/>
      <c r="M162" s="18"/>
      <c r="N162" s="18"/>
      <c r="O162" s="18"/>
      <c r="P162" s="18"/>
      <c r="Q162" s="18"/>
      <c r="R162" s="18">
        <v>20000</v>
      </c>
      <c r="S162" s="32"/>
      <c r="T162" s="18">
        <f>R162/100*73</f>
        <v>14600</v>
      </c>
      <c r="U162" s="14" t="s">
        <v>42</v>
      </c>
      <c r="V162" s="18">
        <v>20000</v>
      </c>
      <c r="W162" s="14" t="s">
        <v>42</v>
      </c>
      <c r="X162" s="18">
        <v>300</v>
      </c>
      <c r="Y162" s="14" t="s">
        <v>42</v>
      </c>
      <c r="Z162" s="33" t="s">
        <v>385</v>
      </c>
      <c r="AA162" s="14" t="s">
        <v>35</v>
      </c>
      <c r="AB162" s="18" t="s">
        <v>386</v>
      </c>
      <c r="AC162" s="14" t="s">
        <v>35</v>
      </c>
      <c r="AD162" s="18" t="s">
        <v>387</v>
      </c>
      <c r="AE162" s="18">
        <v>20</v>
      </c>
      <c r="AF162" s="18">
        <v>300</v>
      </c>
      <c r="AG162" s="14" t="s">
        <v>42</v>
      </c>
      <c r="AH162" s="14">
        <v>2</v>
      </c>
      <c r="AI162" s="20">
        <v>100</v>
      </c>
      <c r="AJ162" s="14">
        <v>3</v>
      </c>
      <c r="AK162" s="14" t="s">
        <v>40</v>
      </c>
      <c r="AL162" s="14">
        <v>0</v>
      </c>
      <c r="AM162" s="14">
        <v>0</v>
      </c>
      <c r="AN162" s="14" t="s">
        <v>40</v>
      </c>
      <c r="AO162" s="14">
        <v>0</v>
      </c>
      <c r="AP162" s="14">
        <v>0</v>
      </c>
      <c r="AQ162" s="14" t="s">
        <v>40</v>
      </c>
      <c r="AR162" s="14" t="s">
        <v>38</v>
      </c>
      <c r="AS162" s="34"/>
      <c r="AT162" s="34"/>
      <c r="AU162" s="14" t="s">
        <v>38</v>
      </c>
      <c r="AV162" s="14" t="s">
        <v>38</v>
      </c>
      <c r="AW162" s="14" t="s">
        <v>38</v>
      </c>
      <c r="AX162" s="29"/>
      <c r="AY162" s="29"/>
      <c r="AZ162" s="29">
        <v>2</v>
      </c>
      <c r="BA162" s="29">
        <v>60</v>
      </c>
      <c r="BB162" s="14" t="s">
        <v>42</v>
      </c>
      <c r="BC162" s="14">
        <v>2</v>
      </c>
      <c r="BD162" s="14">
        <v>2</v>
      </c>
      <c r="BE162" s="14" t="s">
        <v>42</v>
      </c>
      <c r="BF162" s="35" t="s">
        <v>388</v>
      </c>
      <c r="BG162" s="36">
        <f>T162/100*(44)*11.29</f>
        <v>72526.95999999999</v>
      </c>
      <c r="BH162" s="36">
        <f>T162/100*(56)*22.59</f>
        <v>184695.84</v>
      </c>
      <c r="BI162" s="37">
        <f t="shared" si="9"/>
        <v>257222.8</v>
      </c>
      <c r="BJ162" s="36">
        <v>65950</v>
      </c>
      <c r="BK162" s="37">
        <f>BJ162+BI162</f>
        <v>323172.8</v>
      </c>
      <c r="BL162" s="38">
        <v>0.9989999999999999</v>
      </c>
      <c r="BM162" s="38">
        <f t="shared" si="10"/>
        <v>2.9989999999999997</v>
      </c>
      <c r="BN162" s="37">
        <v>428.57142857142856</v>
      </c>
    </row>
    <row r="163" spans="1:66" s="17" customFormat="1" ht="120">
      <c r="A163" s="3" t="s">
        <v>389</v>
      </c>
      <c r="B163" s="2">
        <v>724</v>
      </c>
      <c r="C163" s="3" t="s">
        <v>33</v>
      </c>
      <c r="D163" s="3" t="s">
        <v>57</v>
      </c>
      <c r="E163" s="3" t="s">
        <v>258</v>
      </c>
      <c r="F163" s="11" t="s">
        <v>35</v>
      </c>
      <c r="G163" s="3" t="s">
        <v>67</v>
      </c>
      <c r="H163" s="14" t="s">
        <v>67</v>
      </c>
      <c r="I163" s="31" t="s">
        <v>465</v>
      </c>
      <c r="J163" s="31">
        <v>2500</v>
      </c>
      <c r="K163" s="14" t="s">
        <v>473</v>
      </c>
      <c r="L163" s="18"/>
      <c r="M163" s="18"/>
      <c r="N163" s="18">
        <v>81160</v>
      </c>
      <c r="O163" s="18">
        <v>89825</v>
      </c>
      <c r="P163" s="18">
        <v>98825</v>
      </c>
      <c r="Q163" s="18">
        <v>88706</v>
      </c>
      <c r="R163" s="18">
        <v>74849</v>
      </c>
      <c r="S163" s="32">
        <f>(R163-Q163)/R163</f>
        <v>-0.18513273390426058</v>
      </c>
      <c r="T163" s="18">
        <f>R163/100*68</f>
        <v>50897.32</v>
      </c>
      <c r="U163" s="14" t="s">
        <v>40</v>
      </c>
      <c r="V163" s="18">
        <v>23103</v>
      </c>
      <c r="W163" s="14" t="s">
        <v>40</v>
      </c>
      <c r="X163" s="18">
        <v>51746</v>
      </c>
      <c r="Y163" s="14" t="s">
        <v>42</v>
      </c>
      <c r="Z163" s="33" t="s">
        <v>390</v>
      </c>
      <c r="AA163" s="14" t="s">
        <v>35</v>
      </c>
      <c r="AB163" s="18">
        <v>88576</v>
      </c>
      <c r="AC163" s="14" t="s">
        <v>35</v>
      </c>
      <c r="AD163" s="18" t="s">
        <v>37</v>
      </c>
      <c r="AE163" s="18">
        <v>973</v>
      </c>
      <c r="AF163" s="18">
        <v>28643</v>
      </c>
      <c r="AG163" s="14" t="s">
        <v>40</v>
      </c>
      <c r="AH163" s="14">
        <v>56</v>
      </c>
      <c r="AI163" s="20">
        <v>1670</v>
      </c>
      <c r="AJ163" s="14" t="s">
        <v>46</v>
      </c>
      <c r="AK163" s="14" t="s">
        <v>37</v>
      </c>
      <c r="AL163" s="14">
        <v>82</v>
      </c>
      <c r="AM163" s="14">
        <v>4902</v>
      </c>
      <c r="AN163" s="14" t="s">
        <v>42</v>
      </c>
      <c r="AO163" s="14">
        <v>52</v>
      </c>
      <c r="AP163" s="14">
        <v>1560</v>
      </c>
      <c r="AQ163" s="14" t="s">
        <v>42</v>
      </c>
      <c r="AR163" s="14" t="s">
        <v>35</v>
      </c>
      <c r="AS163" s="34">
        <v>5</v>
      </c>
      <c r="AT163" s="34">
        <v>2.5</v>
      </c>
      <c r="AU163" s="14" t="s">
        <v>35</v>
      </c>
      <c r="AV163" s="14" t="s">
        <v>38</v>
      </c>
      <c r="AW163" s="14" t="s">
        <v>38</v>
      </c>
      <c r="AX163" s="29">
        <v>40</v>
      </c>
      <c r="AY163" s="29">
        <v>42824</v>
      </c>
      <c r="AZ163" s="29">
        <v>112</v>
      </c>
      <c r="BA163" s="29">
        <v>4712</v>
      </c>
      <c r="BB163" s="14" t="s">
        <v>40</v>
      </c>
      <c r="BC163" s="14">
        <v>35</v>
      </c>
      <c r="BD163" s="14">
        <v>23</v>
      </c>
      <c r="BE163" s="14" t="s">
        <v>40</v>
      </c>
      <c r="BF163" s="35" t="s">
        <v>391</v>
      </c>
      <c r="BG163" s="36">
        <f>T163/100*(31)*11.29</f>
        <v>178135.530268</v>
      </c>
      <c r="BH163" s="36">
        <f>T163/100*(69)*22.59</f>
        <v>793341.6165720001</v>
      </c>
      <c r="BI163" s="37">
        <f t="shared" si="9"/>
        <v>971477.1468400001</v>
      </c>
      <c r="BJ163" s="36">
        <v>272528</v>
      </c>
      <c r="BK163" s="37">
        <f>BJ163+BI163</f>
        <v>1244005.14684</v>
      </c>
      <c r="BL163" s="38">
        <v>9.703125</v>
      </c>
      <c r="BM163" s="38">
        <f t="shared" si="10"/>
        <v>32.703125</v>
      </c>
      <c r="BN163" s="37">
        <v>33657.142857142855</v>
      </c>
    </row>
    <row r="164" spans="1:66" s="17" customFormat="1" ht="60">
      <c r="A164" s="12" t="s">
        <v>509</v>
      </c>
      <c r="B164" s="2">
        <v>660</v>
      </c>
      <c r="C164" s="3" t="s">
        <v>33</v>
      </c>
      <c r="D164" s="3" t="s">
        <v>91</v>
      </c>
      <c r="E164" s="3" t="s">
        <v>352</v>
      </c>
      <c r="F164" s="11" t="s">
        <v>35</v>
      </c>
      <c r="G164" s="3" t="s">
        <v>36</v>
      </c>
      <c r="H164" s="14" t="s">
        <v>37</v>
      </c>
      <c r="I164" s="31" t="s">
        <v>467</v>
      </c>
      <c r="J164" s="31">
        <v>1880</v>
      </c>
      <c r="K164" s="14" t="s">
        <v>472</v>
      </c>
      <c r="L164" s="18"/>
      <c r="M164" s="18"/>
      <c r="N164" s="18">
        <v>63805</v>
      </c>
      <c r="O164" s="18">
        <v>62198</v>
      </c>
      <c r="P164" s="18">
        <v>41730</v>
      </c>
      <c r="Q164" s="18">
        <v>42407</v>
      </c>
      <c r="R164" s="18">
        <v>35962</v>
      </c>
      <c r="S164" s="32"/>
      <c r="T164" s="18">
        <f>R164/100*73</f>
        <v>26252.260000000002</v>
      </c>
      <c r="U164" s="14" t="s">
        <v>40</v>
      </c>
      <c r="V164" s="18">
        <v>22930</v>
      </c>
      <c r="W164" s="14" t="s">
        <v>40</v>
      </c>
      <c r="X164" s="18">
        <v>13032</v>
      </c>
      <c r="Y164" s="14" t="s">
        <v>40</v>
      </c>
      <c r="Z164" s="33" t="s">
        <v>392</v>
      </c>
      <c r="AA164" s="14" t="s">
        <v>38</v>
      </c>
      <c r="AB164" s="18">
        <v>343393</v>
      </c>
      <c r="AC164" s="14" t="s">
        <v>35</v>
      </c>
      <c r="AD164" s="18" t="s">
        <v>393</v>
      </c>
      <c r="AE164" s="18">
        <v>136</v>
      </c>
      <c r="AF164" s="18">
        <v>2449</v>
      </c>
      <c r="AG164" s="14" t="s">
        <v>40</v>
      </c>
      <c r="AH164" s="14" t="s">
        <v>394</v>
      </c>
      <c r="AI164" s="20" t="s">
        <v>394</v>
      </c>
      <c r="AJ164" s="14" t="s">
        <v>394</v>
      </c>
      <c r="AK164" s="14" t="s">
        <v>40</v>
      </c>
      <c r="AL164" s="14" t="s">
        <v>46</v>
      </c>
      <c r="AM164" s="14" t="s">
        <v>46</v>
      </c>
      <c r="AN164" s="14" t="s">
        <v>37</v>
      </c>
      <c r="AO164" s="14" t="s">
        <v>46</v>
      </c>
      <c r="AP164" s="14" t="s">
        <v>46</v>
      </c>
      <c r="AQ164" s="14" t="s">
        <v>37</v>
      </c>
      <c r="AR164" s="14" t="s">
        <v>143</v>
      </c>
      <c r="AS164" s="34" t="s">
        <v>395</v>
      </c>
      <c r="AT164" s="34" t="s">
        <v>395</v>
      </c>
      <c r="AU164" s="14" t="s">
        <v>35</v>
      </c>
      <c r="AV164" s="14" t="s">
        <v>38</v>
      </c>
      <c r="AW164" s="14" t="s">
        <v>38</v>
      </c>
      <c r="AX164" s="29">
        <v>78</v>
      </c>
      <c r="AY164" s="29">
        <v>4737.5</v>
      </c>
      <c r="AZ164" s="29">
        <v>47.5</v>
      </c>
      <c r="BA164" s="29">
        <v>4060.6</v>
      </c>
      <c r="BB164" s="14" t="s">
        <v>37</v>
      </c>
      <c r="BC164" s="14" t="s">
        <v>396</v>
      </c>
      <c r="BD164" s="14" t="s">
        <v>396</v>
      </c>
      <c r="BE164" s="14" t="s">
        <v>37</v>
      </c>
      <c r="BF164" s="35" t="s">
        <v>41</v>
      </c>
      <c r="BG164" s="36">
        <f>T164/100*(44)*8.9</f>
        <v>102803.85016</v>
      </c>
      <c r="BH164" s="36">
        <f>T164/100*(56)*17.79</f>
        <v>261535.515024</v>
      </c>
      <c r="BI164" s="37">
        <f t="shared" si="9"/>
        <v>364339.365184</v>
      </c>
      <c r="BJ164" s="36"/>
      <c r="BK164" s="37">
        <f>BJ164+BI164</f>
        <v>364339.365184</v>
      </c>
      <c r="BL164" s="38"/>
      <c r="BM164" s="38"/>
      <c r="BN164" s="37">
        <v>29004.285714285714</v>
      </c>
    </row>
    <row r="165" spans="1:66" s="17" customFormat="1" ht="30">
      <c r="A165" s="3" t="s">
        <v>397</v>
      </c>
      <c r="B165" s="2">
        <v>805</v>
      </c>
      <c r="C165" s="3" t="s">
        <v>33</v>
      </c>
      <c r="D165" s="3" t="s">
        <v>57</v>
      </c>
      <c r="E165" s="3"/>
      <c r="F165" s="11" t="s">
        <v>35</v>
      </c>
      <c r="G165" s="3" t="s">
        <v>36</v>
      </c>
      <c r="H165" s="14" t="s">
        <v>36</v>
      </c>
      <c r="I165" s="31" t="s">
        <v>465</v>
      </c>
      <c r="J165" s="31">
        <v>900</v>
      </c>
      <c r="K165" s="14" t="s">
        <v>471</v>
      </c>
      <c r="L165" s="18">
        <v>7697</v>
      </c>
      <c r="M165" s="18">
        <v>8752</v>
      </c>
      <c r="N165" s="18">
        <v>9278</v>
      </c>
      <c r="O165" s="18">
        <v>7845</v>
      </c>
      <c r="P165" s="18">
        <v>21838</v>
      </c>
      <c r="Q165" s="18">
        <v>8481</v>
      </c>
      <c r="R165" s="18">
        <v>7690</v>
      </c>
      <c r="S165" s="32">
        <f>(R165-Q165)/R165</f>
        <v>-0.10286085825747725</v>
      </c>
      <c r="T165" s="18">
        <f>R165/100*77</f>
        <v>5921.3</v>
      </c>
      <c r="U165" s="14" t="s">
        <v>40</v>
      </c>
      <c r="V165" s="18">
        <v>5862</v>
      </c>
      <c r="W165" s="14" t="s">
        <v>40</v>
      </c>
      <c r="X165" s="18">
        <v>1828</v>
      </c>
      <c r="Y165" s="14" t="s">
        <v>40</v>
      </c>
      <c r="Z165" s="33" t="s">
        <v>37</v>
      </c>
      <c r="AA165" s="14" t="s">
        <v>35</v>
      </c>
      <c r="AB165" s="18">
        <v>4408</v>
      </c>
      <c r="AC165" s="14" t="s">
        <v>38</v>
      </c>
      <c r="AD165" s="18" t="s">
        <v>37</v>
      </c>
      <c r="AE165" s="18" t="s">
        <v>37</v>
      </c>
      <c r="AF165" s="18" t="s">
        <v>37</v>
      </c>
      <c r="AG165" s="14" t="s">
        <v>37</v>
      </c>
      <c r="AH165" s="14" t="s">
        <v>37</v>
      </c>
      <c r="AI165" s="20" t="s">
        <v>37</v>
      </c>
      <c r="AJ165" s="14" t="s">
        <v>37</v>
      </c>
      <c r="AK165" s="14" t="s">
        <v>37</v>
      </c>
      <c r="AL165" s="14" t="s">
        <v>37</v>
      </c>
      <c r="AM165" s="14" t="s">
        <v>37</v>
      </c>
      <c r="AN165" s="14" t="s">
        <v>37</v>
      </c>
      <c r="AO165" s="14" t="s">
        <v>37</v>
      </c>
      <c r="AP165" s="14" t="s">
        <v>37</v>
      </c>
      <c r="AQ165" s="14" t="s">
        <v>37</v>
      </c>
      <c r="AR165" s="14" t="s">
        <v>38</v>
      </c>
      <c r="AS165" s="34"/>
      <c r="AT165" s="34"/>
      <c r="AU165" s="14" t="s">
        <v>35</v>
      </c>
      <c r="AV165" s="14" t="s">
        <v>38</v>
      </c>
      <c r="AW165" s="14" t="s">
        <v>38</v>
      </c>
      <c r="AX165" s="29">
        <v>50</v>
      </c>
      <c r="AY165" s="29">
        <v>4000</v>
      </c>
      <c r="AZ165" s="29">
        <v>50</v>
      </c>
      <c r="BA165" s="29">
        <v>5000</v>
      </c>
      <c r="BB165" s="14" t="s">
        <v>42</v>
      </c>
      <c r="BC165" s="14">
        <v>0</v>
      </c>
      <c r="BD165" s="14">
        <v>0</v>
      </c>
      <c r="BE165" s="14" t="s">
        <v>40</v>
      </c>
      <c r="BF165" s="35" t="s">
        <v>37</v>
      </c>
      <c r="BG165" s="36">
        <f>T165/100*(47)*11.29</f>
        <v>31420.19419</v>
      </c>
      <c r="BH165" s="36">
        <f>T165/100*(53)*22.59</f>
        <v>70893.94851</v>
      </c>
      <c r="BI165" s="37">
        <f t="shared" si="9"/>
        <v>102314.1427</v>
      </c>
      <c r="BJ165" s="36">
        <v>16371</v>
      </c>
      <c r="BK165" s="37">
        <f>BJ165+BI165</f>
        <v>118685.1427</v>
      </c>
      <c r="BL165" s="38">
        <v>0</v>
      </c>
      <c r="BM165" s="38">
        <f t="shared" si="10"/>
        <v>0</v>
      </c>
      <c r="BN165" s="37">
        <v>35714.28571428572</v>
      </c>
    </row>
    <row r="166" spans="1:66" s="17" customFormat="1" ht="46.5" customHeight="1">
      <c r="A166" s="3" t="s">
        <v>398</v>
      </c>
      <c r="B166" s="2">
        <v>2175</v>
      </c>
      <c r="C166" s="3" t="s">
        <v>33</v>
      </c>
      <c r="D166" s="3" t="s">
        <v>61</v>
      </c>
      <c r="E166" s="3"/>
      <c r="F166" s="3"/>
      <c r="G166" s="3" t="s">
        <v>36</v>
      </c>
      <c r="H166" s="14"/>
      <c r="I166" s="39"/>
      <c r="J166" s="39"/>
      <c r="K166" s="14"/>
      <c r="L166" s="18"/>
      <c r="M166" s="18"/>
      <c r="N166" s="18"/>
      <c r="O166" s="18"/>
      <c r="P166" s="18"/>
      <c r="Q166" s="18"/>
      <c r="R166" s="18"/>
      <c r="S166" s="32"/>
      <c r="T166" s="18"/>
      <c r="U166" s="14"/>
      <c r="V166" s="18"/>
      <c r="W166" s="14"/>
      <c r="X166" s="18"/>
      <c r="Y166" s="14"/>
      <c r="Z166" s="33"/>
      <c r="AA166" s="14" t="s">
        <v>35</v>
      </c>
      <c r="AB166" s="18"/>
      <c r="AC166" s="14"/>
      <c r="AD166" s="18"/>
      <c r="AE166" s="18"/>
      <c r="AF166" s="18"/>
      <c r="AG166" s="14"/>
      <c r="AH166" s="14"/>
      <c r="AI166" s="20"/>
      <c r="AJ166" s="14"/>
      <c r="AK166" s="14"/>
      <c r="AL166" s="14"/>
      <c r="AM166" s="14"/>
      <c r="AN166" s="14"/>
      <c r="AO166" s="14"/>
      <c r="AP166" s="14"/>
      <c r="AQ166" s="14"/>
      <c r="AR166" s="14" t="s">
        <v>35</v>
      </c>
      <c r="AS166" s="34">
        <v>4</v>
      </c>
      <c r="AT166" s="34" t="s">
        <v>53</v>
      </c>
      <c r="AU166" s="14" t="s">
        <v>35</v>
      </c>
      <c r="AV166" s="14"/>
      <c r="AW166" s="14"/>
      <c r="AX166" s="29"/>
      <c r="AY166" s="29"/>
      <c r="AZ166" s="29"/>
      <c r="BA166" s="29"/>
      <c r="BB166" s="14"/>
      <c r="BC166" s="14"/>
      <c r="BD166" s="14"/>
      <c r="BE166" s="14"/>
      <c r="BF166" s="35"/>
      <c r="BG166" s="36"/>
      <c r="BH166" s="36"/>
      <c r="BI166" s="37"/>
      <c r="BJ166" s="36"/>
      <c r="BK166" s="37"/>
      <c r="BL166" s="38"/>
      <c r="BM166" s="38">
        <f t="shared" si="10"/>
        <v>0</v>
      </c>
      <c r="BN166" s="37"/>
    </row>
    <row r="167" spans="1:66" s="17" customFormat="1" ht="30">
      <c r="A167" s="3" t="s">
        <v>399</v>
      </c>
      <c r="B167" s="2">
        <v>657</v>
      </c>
      <c r="C167" s="3" t="s">
        <v>33</v>
      </c>
      <c r="D167" s="3" t="s">
        <v>57</v>
      </c>
      <c r="E167" s="3"/>
      <c r="F167" s="11" t="s">
        <v>35</v>
      </c>
      <c r="G167" s="3" t="s">
        <v>67</v>
      </c>
      <c r="H167" s="14" t="s">
        <v>67</v>
      </c>
      <c r="I167" s="31" t="s">
        <v>465</v>
      </c>
      <c r="J167" s="31">
        <v>1092</v>
      </c>
      <c r="K167" s="14" t="s">
        <v>471</v>
      </c>
      <c r="L167" s="18">
        <v>9132</v>
      </c>
      <c r="M167" s="18">
        <v>9795</v>
      </c>
      <c r="N167" s="18">
        <v>8553</v>
      </c>
      <c r="O167" s="18">
        <v>9399</v>
      </c>
      <c r="P167" s="18">
        <v>9312</v>
      </c>
      <c r="Q167" s="18">
        <v>10093</v>
      </c>
      <c r="R167" s="18">
        <v>8323</v>
      </c>
      <c r="S167" s="32">
        <f>(R167-Q167)/R167</f>
        <v>-0.21266370299170972</v>
      </c>
      <c r="T167" s="18">
        <f>R167/100*77</f>
        <v>6408.71</v>
      </c>
      <c r="U167" s="14" t="s">
        <v>40</v>
      </c>
      <c r="V167" s="18">
        <v>5500</v>
      </c>
      <c r="W167" s="14" t="s">
        <v>42</v>
      </c>
      <c r="X167" s="18">
        <v>2823</v>
      </c>
      <c r="Y167" s="14" t="s">
        <v>42</v>
      </c>
      <c r="Z167" s="33" t="s">
        <v>79</v>
      </c>
      <c r="AA167" s="14" t="s">
        <v>35</v>
      </c>
      <c r="AB167" s="18" t="s">
        <v>37</v>
      </c>
      <c r="AC167" s="14" t="s">
        <v>35</v>
      </c>
      <c r="AD167" s="18" t="s">
        <v>400</v>
      </c>
      <c r="AE167" s="18">
        <v>26</v>
      </c>
      <c r="AF167" s="18">
        <v>439</v>
      </c>
      <c r="AG167" s="14" t="s">
        <v>40</v>
      </c>
      <c r="AH167" s="14" t="s">
        <v>37</v>
      </c>
      <c r="AI167" s="20" t="s">
        <v>37</v>
      </c>
      <c r="AJ167" s="14" t="s">
        <v>401</v>
      </c>
      <c r="AK167" s="14" t="s">
        <v>40</v>
      </c>
      <c r="AL167" s="14">
        <v>6</v>
      </c>
      <c r="AM167" s="14">
        <v>73</v>
      </c>
      <c r="AN167" s="14" t="s">
        <v>37</v>
      </c>
      <c r="AO167" s="14" t="s">
        <v>37</v>
      </c>
      <c r="AP167" s="14" t="s">
        <v>37</v>
      </c>
      <c r="AQ167" s="14" t="s">
        <v>37</v>
      </c>
      <c r="AR167" s="14" t="s">
        <v>38</v>
      </c>
      <c r="AS167" s="34"/>
      <c r="AT167" s="34"/>
      <c r="AU167" s="14" t="s">
        <v>35</v>
      </c>
      <c r="AV167" s="14" t="s">
        <v>35</v>
      </c>
      <c r="AW167" s="14" t="s">
        <v>38</v>
      </c>
      <c r="AX167" s="29">
        <v>30</v>
      </c>
      <c r="AY167" s="29">
        <v>5000</v>
      </c>
      <c r="AZ167" s="29">
        <v>15</v>
      </c>
      <c r="BA167" s="29">
        <v>2745</v>
      </c>
      <c r="BB167" s="14" t="s">
        <v>42</v>
      </c>
      <c r="BC167" s="14">
        <v>6</v>
      </c>
      <c r="BD167" s="14" t="s">
        <v>37</v>
      </c>
      <c r="BE167" s="14" t="s">
        <v>37</v>
      </c>
      <c r="BF167" s="35" t="s">
        <v>37</v>
      </c>
      <c r="BG167" s="36">
        <f>T167/100*(47)*11.29</f>
        <v>34006.537873</v>
      </c>
      <c r="BH167" s="36">
        <f>T167/100*(53)*22.59</f>
        <v>76729.562217</v>
      </c>
      <c r="BI167" s="37">
        <f t="shared" si="9"/>
        <v>110736.10008999999</v>
      </c>
      <c r="BJ167" s="36"/>
      <c r="BK167" s="37">
        <f>BJ167+BI167</f>
        <v>110736.10008999999</v>
      </c>
      <c r="BL167" s="38"/>
      <c r="BM167" s="38"/>
      <c r="BN167" s="37">
        <v>19607.14285714286</v>
      </c>
    </row>
    <row r="168" spans="1:66" s="17" customFormat="1" ht="60">
      <c r="A168" s="13" t="s">
        <v>402</v>
      </c>
      <c r="B168" s="2">
        <v>576</v>
      </c>
      <c r="C168" s="3" t="s">
        <v>33</v>
      </c>
      <c r="D168" s="3" t="s">
        <v>57</v>
      </c>
      <c r="E168" s="3" t="s">
        <v>244</v>
      </c>
      <c r="F168" s="11" t="s">
        <v>35</v>
      </c>
      <c r="G168" s="3" t="s">
        <v>67</v>
      </c>
      <c r="H168" s="14" t="s">
        <v>67</v>
      </c>
      <c r="I168" s="31" t="s">
        <v>466</v>
      </c>
      <c r="J168" s="31" t="s">
        <v>37</v>
      </c>
      <c r="K168" s="14" t="s">
        <v>472</v>
      </c>
      <c r="L168" s="18">
        <v>6416</v>
      </c>
      <c r="M168" s="18">
        <v>5030</v>
      </c>
      <c r="N168" s="18">
        <v>5427</v>
      </c>
      <c r="O168" s="18">
        <v>5484</v>
      </c>
      <c r="P168" s="18">
        <v>5918</v>
      </c>
      <c r="Q168" s="18">
        <v>5542</v>
      </c>
      <c r="R168" s="18">
        <v>21808</v>
      </c>
      <c r="S168" s="32">
        <f>(R168-Q168)/R168</f>
        <v>0.7458730741012473</v>
      </c>
      <c r="T168" s="18">
        <f>R168/100*73</f>
        <v>15919.84</v>
      </c>
      <c r="U168" s="14" t="s">
        <v>40</v>
      </c>
      <c r="V168" s="18">
        <v>12620</v>
      </c>
      <c r="W168" s="14" t="s">
        <v>40</v>
      </c>
      <c r="X168" s="18">
        <v>9188</v>
      </c>
      <c r="Y168" s="14" t="s">
        <v>40</v>
      </c>
      <c r="Z168" s="33" t="s">
        <v>403</v>
      </c>
      <c r="AA168" s="14" t="s">
        <v>35</v>
      </c>
      <c r="AB168" s="18">
        <v>12005</v>
      </c>
      <c r="AC168" s="14" t="s">
        <v>35</v>
      </c>
      <c r="AD168" s="18" t="s">
        <v>404</v>
      </c>
      <c r="AE168" s="18">
        <v>117</v>
      </c>
      <c r="AF168" s="18">
        <v>3508</v>
      </c>
      <c r="AG168" s="14" t="s">
        <v>40</v>
      </c>
      <c r="AH168" s="14">
        <v>0</v>
      </c>
      <c r="AI168" s="20">
        <v>0</v>
      </c>
      <c r="AJ168" s="14" t="s">
        <v>405</v>
      </c>
      <c r="AK168" s="14" t="s">
        <v>40</v>
      </c>
      <c r="AL168" s="14">
        <v>69</v>
      </c>
      <c r="AM168" s="14">
        <v>705</v>
      </c>
      <c r="AN168" s="14" t="s">
        <v>40</v>
      </c>
      <c r="AO168" s="14">
        <v>3</v>
      </c>
      <c r="AP168" s="14">
        <v>90</v>
      </c>
      <c r="AQ168" s="14" t="s">
        <v>42</v>
      </c>
      <c r="AR168" s="14" t="s">
        <v>35</v>
      </c>
      <c r="AS168" s="34">
        <v>3.5</v>
      </c>
      <c r="AT168" s="34" t="s">
        <v>53</v>
      </c>
      <c r="AU168" s="14" t="s">
        <v>35</v>
      </c>
      <c r="AV168" s="14" t="s">
        <v>35</v>
      </c>
      <c r="AW168" s="14" t="s">
        <v>38</v>
      </c>
      <c r="AX168" s="29"/>
      <c r="AY168" s="29"/>
      <c r="AZ168" s="29">
        <v>61</v>
      </c>
      <c r="BA168" s="29">
        <v>2500</v>
      </c>
      <c r="BB168" s="14" t="s">
        <v>40</v>
      </c>
      <c r="BC168" s="14">
        <v>17</v>
      </c>
      <c r="BD168" s="14">
        <v>5.95</v>
      </c>
      <c r="BE168" s="14" t="s">
        <v>40</v>
      </c>
      <c r="BF168" s="35" t="s">
        <v>406</v>
      </c>
      <c r="BG168" s="36">
        <f>T168/100*(44)*11.29</f>
        <v>79083.39718399999</v>
      </c>
      <c r="BH168" s="36">
        <f>T168/100*(56)*22.59</f>
        <v>201392.343936</v>
      </c>
      <c r="BI168" s="37">
        <f t="shared" si="9"/>
        <v>280475.74111999996</v>
      </c>
      <c r="BJ168" s="36">
        <v>211923</v>
      </c>
      <c r="BK168" s="37">
        <f>BJ168+BI168</f>
        <v>492398.74111999996</v>
      </c>
      <c r="BL168" s="38">
        <v>2.972025</v>
      </c>
      <c r="BM168" s="38">
        <f t="shared" si="10"/>
        <v>8.922025</v>
      </c>
      <c r="BN168" s="37">
        <v>17857.14285714286</v>
      </c>
    </row>
    <row r="169" spans="1:66" s="17" customFormat="1" ht="30">
      <c r="A169" s="12" t="s">
        <v>407</v>
      </c>
      <c r="B169" s="2">
        <v>2275</v>
      </c>
      <c r="C169" s="3" t="s">
        <v>33</v>
      </c>
      <c r="D169" s="3" t="s">
        <v>50</v>
      </c>
      <c r="E169" s="3"/>
      <c r="F169" s="11" t="s">
        <v>35</v>
      </c>
      <c r="G169" s="3" t="s">
        <v>67</v>
      </c>
      <c r="H169" s="14" t="s">
        <v>67</v>
      </c>
      <c r="I169" s="31" t="s">
        <v>465</v>
      </c>
      <c r="J169" s="31" t="s">
        <v>37</v>
      </c>
      <c r="K169" s="14" t="s">
        <v>472</v>
      </c>
      <c r="L169" s="18"/>
      <c r="M169" s="18"/>
      <c r="N169" s="18">
        <v>31222</v>
      </c>
      <c r="O169" s="18">
        <v>30860</v>
      </c>
      <c r="P169" s="18"/>
      <c r="Q169" s="18"/>
      <c r="R169" s="18">
        <v>37361</v>
      </c>
      <c r="S169" s="32"/>
      <c r="T169" s="18">
        <f>R169/100*73</f>
        <v>27273.530000000002</v>
      </c>
      <c r="U169" s="14" t="s">
        <v>40</v>
      </c>
      <c r="V169" s="18">
        <v>21800</v>
      </c>
      <c r="W169" s="14" t="s">
        <v>42</v>
      </c>
      <c r="X169" s="18">
        <v>15561</v>
      </c>
      <c r="Y169" s="14" t="s">
        <v>42</v>
      </c>
      <c r="Z169" s="33" t="s">
        <v>37</v>
      </c>
      <c r="AA169" s="14" t="s">
        <v>35</v>
      </c>
      <c r="AB169" s="18" t="s">
        <v>37</v>
      </c>
      <c r="AC169" s="14" t="s">
        <v>35</v>
      </c>
      <c r="AD169" s="18" t="s">
        <v>37</v>
      </c>
      <c r="AE169" s="18">
        <v>158</v>
      </c>
      <c r="AF169" s="18">
        <v>14864</v>
      </c>
      <c r="AG169" s="14" t="s">
        <v>40</v>
      </c>
      <c r="AH169" s="14">
        <v>10</v>
      </c>
      <c r="AI169" s="20">
        <v>60</v>
      </c>
      <c r="AJ169" s="14" t="s">
        <v>408</v>
      </c>
      <c r="AK169" s="14" t="s">
        <v>40</v>
      </c>
      <c r="AL169" s="14">
        <v>15</v>
      </c>
      <c r="AM169" s="14">
        <v>300</v>
      </c>
      <c r="AN169" s="14" t="s">
        <v>42</v>
      </c>
      <c r="AO169" s="14">
        <v>6</v>
      </c>
      <c r="AP169" s="14">
        <v>120</v>
      </c>
      <c r="AQ169" s="14" t="s">
        <v>42</v>
      </c>
      <c r="AR169" s="14" t="s">
        <v>35</v>
      </c>
      <c r="AS169" s="34">
        <v>5</v>
      </c>
      <c r="AT169" s="34">
        <v>3</v>
      </c>
      <c r="AU169" s="14" t="s">
        <v>35</v>
      </c>
      <c r="AV169" s="14" t="s">
        <v>38</v>
      </c>
      <c r="AW169" s="14" t="s">
        <v>35</v>
      </c>
      <c r="AX169" s="29"/>
      <c r="AY169" s="29"/>
      <c r="AZ169" s="29">
        <v>60</v>
      </c>
      <c r="BA169" s="29">
        <v>2902</v>
      </c>
      <c r="BB169" s="14" t="s">
        <v>40</v>
      </c>
      <c r="BC169" s="14">
        <v>9</v>
      </c>
      <c r="BD169" s="14">
        <v>4</v>
      </c>
      <c r="BE169" s="14" t="s">
        <v>40</v>
      </c>
      <c r="BF169" s="35" t="s">
        <v>37</v>
      </c>
      <c r="BG169" s="36">
        <f>T169/100*(44)*12.86</f>
        <v>154324.542152</v>
      </c>
      <c r="BH169" s="36">
        <f>T169/100*(56)*25.73</f>
        <v>392978.83906400006</v>
      </c>
      <c r="BI169" s="37">
        <f t="shared" si="9"/>
        <v>547303.3812160001</v>
      </c>
      <c r="BJ169" s="36">
        <v>241689</v>
      </c>
      <c r="BK169" s="37">
        <f>BJ169+BI169</f>
        <v>788992.3812160001</v>
      </c>
      <c r="BL169" s="38">
        <v>1.9979999999999998</v>
      </c>
      <c r="BM169" s="38">
        <f t="shared" si="10"/>
        <v>5.997999999999999</v>
      </c>
      <c r="BN169" s="37">
        <v>20728.571428571428</v>
      </c>
    </row>
    <row r="170" spans="1:66" s="17" customFormat="1" ht="30">
      <c r="A170" s="12" t="s">
        <v>409</v>
      </c>
      <c r="B170" s="2">
        <v>691</v>
      </c>
      <c r="C170" s="3" t="s">
        <v>33</v>
      </c>
      <c r="D170" s="16" t="s">
        <v>44</v>
      </c>
      <c r="E170" s="16"/>
      <c r="F170" s="11" t="s">
        <v>35</v>
      </c>
      <c r="G170" s="3" t="s">
        <v>139</v>
      </c>
      <c r="H170" s="14" t="s">
        <v>139</v>
      </c>
      <c r="I170" s="31" t="s">
        <v>465</v>
      </c>
      <c r="J170" s="31">
        <v>1400</v>
      </c>
      <c r="K170" s="14" t="s">
        <v>472</v>
      </c>
      <c r="L170" s="18"/>
      <c r="M170" s="18"/>
      <c r="N170" s="18">
        <v>9022</v>
      </c>
      <c r="O170" s="18">
        <v>11337</v>
      </c>
      <c r="P170" s="18">
        <v>11180</v>
      </c>
      <c r="Q170" s="18">
        <v>12618</v>
      </c>
      <c r="R170" s="18">
        <v>15848</v>
      </c>
      <c r="S170" s="32">
        <f>(R170-Q170)/R170</f>
        <v>0.20381120646138315</v>
      </c>
      <c r="T170" s="18">
        <f>R170/100*73</f>
        <v>11569.039999999999</v>
      </c>
      <c r="U170" s="14" t="s">
        <v>40</v>
      </c>
      <c r="V170" s="18">
        <v>10064</v>
      </c>
      <c r="W170" s="14" t="s">
        <v>40</v>
      </c>
      <c r="X170" s="18">
        <v>5784</v>
      </c>
      <c r="Y170" s="14" t="s">
        <v>40</v>
      </c>
      <c r="Z170" s="33" t="s">
        <v>79</v>
      </c>
      <c r="AA170" s="14" t="s">
        <v>35</v>
      </c>
      <c r="AB170" s="18">
        <v>50142</v>
      </c>
      <c r="AC170" s="14" t="s">
        <v>35</v>
      </c>
      <c r="AD170" s="18" t="s">
        <v>410</v>
      </c>
      <c r="AE170" s="18">
        <v>61</v>
      </c>
      <c r="AF170" s="18">
        <v>1206</v>
      </c>
      <c r="AG170" s="14" t="s">
        <v>40</v>
      </c>
      <c r="AH170" s="14">
        <v>0</v>
      </c>
      <c r="AI170" s="20">
        <v>0</v>
      </c>
      <c r="AJ170" s="14">
        <v>61</v>
      </c>
      <c r="AK170" s="14" t="s">
        <v>42</v>
      </c>
      <c r="AL170" s="14">
        <v>19</v>
      </c>
      <c r="AM170" s="14">
        <v>2515</v>
      </c>
      <c r="AN170" s="14" t="s">
        <v>40</v>
      </c>
      <c r="AO170" s="14">
        <v>4</v>
      </c>
      <c r="AP170" s="14">
        <v>300</v>
      </c>
      <c r="AQ170" s="14" t="s">
        <v>40</v>
      </c>
      <c r="AR170" s="14" t="s">
        <v>38</v>
      </c>
      <c r="AS170" s="34"/>
      <c r="AT170" s="34"/>
      <c r="AU170" s="14" t="s">
        <v>35</v>
      </c>
      <c r="AV170" s="14" t="s">
        <v>38</v>
      </c>
      <c r="AW170" s="14" t="s">
        <v>38</v>
      </c>
      <c r="AX170" s="29">
        <v>0</v>
      </c>
      <c r="AY170" s="29">
        <v>0</v>
      </c>
      <c r="AZ170" s="29">
        <v>16</v>
      </c>
      <c r="BA170" s="29">
        <v>177</v>
      </c>
      <c r="BB170" s="14" t="s">
        <v>40</v>
      </c>
      <c r="BC170" s="14">
        <v>7</v>
      </c>
      <c r="BD170" s="14">
        <v>8</v>
      </c>
      <c r="BE170" s="14" t="s">
        <v>40</v>
      </c>
      <c r="BF170" s="35" t="s">
        <v>46</v>
      </c>
      <c r="BG170" s="36">
        <f>T170/100*(44)*17.99</f>
        <v>91575.89302399999</v>
      </c>
      <c r="BH170" s="36">
        <f>T170/100*(56)*35.98</f>
        <v>233102.27315199998</v>
      </c>
      <c r="BI170" s="37">
        <f t="shared" si="9"/>
        <v>324678.16617599997</v>
      </c>
      <c r="BJ170" s="36">
        <v>375000</v>
      </c>
      <c r="BK170" s="37">
        <f>BJ170+BI170</f>
        <v>699678.1661759999</v>
      </c>
      <c r="BL170" s="38">
        <v>3.9959999999999996</v>
      </c>
      <c r="BM170" s="38">
        <f t="shared" si="10"/>
        <v>11.995999999999999</v>
      </c>
      <c r="BN170" s="37">
        <v>1264.2857142857142</v>
      </c>
    </row>
    <row r="171" spans="1:66" s="17" customFormat="1" ht="75">
      <c r="A171" s="3" t="s">
        <v>411</v>
      </c>
      <c r="B171" s="2">
        <v>674</v>
      </c>
      <c r="C171" s="3" t="s">
        <v>33</v>
      </c>
      <c r="D171" s="16" t="s">
        <v>44</v>
      </c>
      <c r="E171" s="16"/>
      <c r="F171" s="11" t="s">
        <v>35</v>
      </c>
      <c r="G171" s="3" t="s">
        <v>36</v>
      </c>
      <c r="H171" s="14" t="s">
        <v>36</v>
      </c>
      <c r="I171" s="31" t="s">
        <v>465</v>
      </c>
      <c r="J171" s="31">
        <v>310</v>
      </c>
      <c r="K171" s="14" t="s">
        <v>471</v>
      </c>
      <c r="L171" s="18">
        <v>1592</v>
      </c>
      <c r="M171" s="18">
        <v>1189</v>
      </c>
      <c r="N171" s="18">
        <v>1148</v>
      </c>
      <c r="O171" s="18">
        <v>1329</v>
      </c>
      <c r="P171" s="18"/>
      <c r="Q171" s="18"/>
      <c r="R171" s="18">
        <v>500</v>
      </c>
      <c r="S171" s="32"/>
      <c r="T171" s="18">
        <f>R171/100*77</f>
        <v>385</v>
      </c>
      <c r="U171" s="14" t="s">
        <v>42</v>
      </c>
      <c r="V171" s="18">
        <v>420</v>
      </c>
      <c r="W171" s="14" t="s">
        <v>42</v>
      </c>
      <c r="X171" s="18">
        <v>80</v>
      </c>
      <c r="Y171" s="14" t="s">
        <v>42</v>
      </c>
      <c r="Z171" s="33" t="s">
        <v>38</v>
      </c>
      <c r="AA171" s="14" t="s">
        <v>38</v>
      </c>
      <c r="AB171" s="18" t="s">
        <v>412</v>
      </c>
      <c r="AC171" s="14" t="s">
        <v>35</v>
      </c>
      <c r="AD171" s="18" t="s">
        <v>413</v>
      </c>
      <c r="AE171" s="18">
        <v>5</v>
      </c>
      <c r="AF171" s="18">
        <v>90</v>
      </c>
      <c r="AG171" s="14" t="s">
        <v>42</v>
      </c>
      <c r="AH171" s="14">
        <v>0</v>
      </c>
      <c r="AI171" s="20">
        <v>0</v>
      </c>
      <c r="AJ171" s="14" t="s">
        <v>414</v>
      </c>
      <c r="AK171" s="14" t="s">
        <v>40</v>
      </c>
      <c r="AL171" s="14">
        <v>5</v>
      </c>
      <c r="AM171" s="14">
        <v>60</v>
      </c>
      <c r="AN171" s="14" t="s">
        <v>42</v>
      </c>
      <c r="AO171" s="14">
        <v>0</v>
      </c>
      <c r="AP171" s="14" t="s">
        <v>37</v>
      </c>
      <c r="AQ171" s="14" t="s">
        <v>40</v>
      </c>
      <c r="AR171" s="14" t="s">
        <v>35</v>
      </c>
      <c r="AS171" s="34">
        <v>1</v>
      </c>
      <c r="AT171" s="34">
        <v>0.5</v>
      </c>
      <c r="AU171" s="14" t="s">
        <v>35</v>
      </c>
      <c r="AV171" s="14" t="s">
        <v>38</v>
      </c>
      <c r="AW171" s="14" t="s">
        <v>38</v>
      </c>
      <c r="AX171" s="29"/>
      <c r="AY171" s="29"/>
      <c r="AZ171" s="29">
        <v>40</v>
      </c>
      <c r="BA171" s="29">
        <v>1500</v>
      </c>
      <c r="BB171" s="14" t="s">
        <v>42</v>
      </c>
      <c r="BC171" s="14">
        <v>1</v>
      </c>
      <c r="BD171" s="14">
        <v>0.4</v>
      </c>
      <c r="BE171" s="14" t="s">
        <v>40</v>
      </c>
      <c r="BF171" s="35" t="s">
        <v>415</v>
      </c>
      <c r="BG171" s="36">
        <f>T171/100*(47)*17.99</f>
        <v>3255.2905</v>
      </c>
      <c r="BH171" s="36">
        <f>T171/100*(53)*35.98</f>
        <v>7341.719</v>
      </c>
      <c r="BI171" s="37">
        <f t="shared" si="9"/>
        <v>10597.0095</v>
      </c>
      <c r="BJ171" s="36">
        <v>2475</v>
      </c>
      <c r="BK171" s="37">
        <f>BJ171+BI171</f>
        <v>13072.0095</v>
      </c>
      <c r="BL171" s="38">
        <v>0.21330000000000002</v>
      </c>
      <c r="BM171" s="38">
        <f t="shared" si="10"/>
        <v>0.6133000000000001</v>
      </c>
      <c r="BN171" s="37">
        <v>10714.285714285714</v>
      </c>
    </row>
    <row r="172" spans="1:66" s="17" customFormat="1" ht="46.5" customHeight="1">
      <c r="A172" s="3" t="s">
        <v>416</v>
      </c>
      <c r="B172" s="2">
        <v>1752</v>
      </c>
      <c r="C172" s="3" t="s">
        <v>33</v>
      </c>
      <c r="D172" s="11" t="s">
        <v>44</v>
      </c>
      <c r="E172" s="11"/>
      <c r="F172" s="11"/>
      <c r="G172" s="3" t="s">
        <v>55</v>
      </c>
      <c r="H172" s="14"/>
      <c r="I172" s="39"/>
      <c r="J172" s="39"/>
      <c r="K172" s="14"/>
      <c r="L172" s="18"/>
      <c r="M172" s="18"/>
      <c r="N172" s="18"/>
      <c r="O172" s="18"/>
      <c r="P172" s="18"/>
      <c r="Q172" s="18"/>
      <c r="R172" s="18"/>
      <c r="S172" s="32"/>
      <c r="T172" s="18"/>
      <c r="U172" s="14"/>
      <c r="V172" s="18"/>
      <c r="W172" s="14"/>
      <c r="X172" s="18"/>
      <c r="Y172" s="14"/>
      <c r="Z172" s="33"/>
      <c r="AA172" s="14" t="s">
        <v>35</v>
      </c>
      <c r="AB172" s="18"/>
      <c r="AC172" s="14"/>
      <c r="AD172" s="18"/>
      <c r="AE172" s="18"/>
      <c r="AF172" s="18"/>
      <c r="AG172" s="14"/>
      <c r="AH172" s="14"/>
      <c r="AI172" s="20"/>
      <c r="AJ172" s="14"/>
      <c r="AK172" s="14"/>
      <c r="AL172" s="14"/>
      <c r="AM172" s="14"/>
      <c r="AN172" s="14"/>
      <c r="AO172" s="14"/>
      <c r="AP172" s="14"/>
      <c r="AQ172" s="14"/>
      <c r="AR172" s="14" t="s">
        <v>35</v>
      </c>
      <c r="AS172" s="34">
        <v>16.25</v>
      </c>
      <c r="AT172" s="34">
        <v>8</v>
      </c>
      <c r="AU172" s="14" t="s">
        <v>35</v>
      </c>
      <c r="AV172" s="14"/>
      <c r="AW172" s="14"/>
      <c r="AX172" s="29"/>
      <c r="AY172" s="29"/>
      <c r="AZ172" s="29"/>
      <c r="BA172" s="29"/>
      <c r="BB172" s="14"/>
      <c r="BC172" s="14"/>
      <c r="BD172" s="14"/>
      <c r="BE172" s="14"/>
      <c r="BF172" s="35"/>
      <c r="BG172" s="36"/>
      <c r="BH172" s="36"/>
      <c r="BI172" s="37"/>
      <c r="BJ172" s="36"/>
      <c r="BK172" s="37"/>
      <c r="BL172" s="38"/>
      <c r="BM172" s="38">
        <f t="shared" si="10"/>
        <v>0</v>
      </c>
      <c r="BN172" s="37"/>
    </row>
    <row r="173" spans="1:66" s="17" customFormat="1" ht="60">
      <c r="A173" s="12" t="s">
        <v>417</v>
      </c>
      <c r="B173" s="2">
        <v>670</v>
      </c>
      <c r="C173" s="3" t="s">
        <v>33</v>
      </c>
      <c r="D173" s="16" t="s">
        <v>44</v>
      </c>
      <c r="E173" s="16"/>
      <c r="F173" s="11" t="s">
        <v>35</v>
      </c>
      <c r="G173" s="3" t="s">
        <v>36</v>
      </c>
      <c r="H173" s="14" t="s">
        <v>37</v>
      </c>
      <c r="I173" s="31" t="s">
        <v>466</v>
      </c>
      <c r="J173" s="31">
        <v>1500</v>
      </c>
      <c r="K173" s="14" t="s">
        <v>472</v>
      </c>
      <c r="L173" s="18">
        <v>11424</v>
      </c>
      <c r="M173" s="18">
        <v>12062</v>
      </c>
      <c r="N173" s="18">
        <v>12927</v>
      </c>
      <c r="O173" s="18">
        <v>12659</v>
      </c>
      <c r="P173" s="18">
        <v>12818</v>
      </c>
      <c r="Q173" s="18">
        <v>12523</v>
      </c>
      <c r="R173" s="18">
        <v>12552</v>
      </c>
      <c r="S173" s="32">
        <f>(R173-Q173)/R173</f>
        <v>0.002310388782664117</v>
      </c>
      <c r="T173" s="18">
        <f>R173/100*73</f>
        <v>9162.96</v>
      </c>
      <c r="U173" s="14" t="s">
        <v>40</v>
      </c>
      <c r="V173" s="18">
        <v>10080</v>
      </c>
      <c r="W173" s="14" t="s">
        <v>40</v>
      </c>
      <c r="X173" s="18">
        <v>2472</v>
      </c>
      <c r="Y173" s="14" t="s">
        <v>40</v>
      </c>
      <c r="Z173" s="33" t="s">
        <v>41</v>
      </c>
      <c r="AA173" s="14" t="s">
        <v>35</v>
      </c>
      <c r="AB173" s="18">
        <v>11763</v>
      </c>
      <c r="AC173" s="14" t="s">
        <v>35</v>
      </c>
      <c r="AD173" s="18" t="s">
        <v>418</v>
      </c>
      <c r="AE173" s="18">
        <v>48</v>
      </c>
      <c r="AF173" s="18">
        <v>1004</v>
      </c>
      <c r="AG173" s="14" t="s">
        <v>40</v>
      </c>
      <c r="AH173" s="14">
        <v>13</v>
      </c>
      <c r="AI173" s="20">
        <v>385</v>
      </c>
      <c r="AJ173" s="14">
        <v>9</v>
      </c>
      <c r="AK173" s="14" t="s">
        <v>40</v>
      </c>
      <c r="AL173" s="14">
        <v>26</v>
      </c>
      <c r="AM173" s="14">
        <v>401</v>
      </c>
      <c r="AN173" s="14" t="s">
        <v>40</v>
      </c>
      <c r="AO173" s="14">
        <v>5</v>
      </c>
      <c r="AP173" s="14">
        <v>824</v>
      </c>
      <c r="AQ173" s="14" t="s">
        <v>40</v>
      </c>
      <c r="AR173" s="14" t="s">
        <v>38</v>
      </c>
      <c r="AS173" s="34"/>
      <c r="AT173" s="34"/>
      <c r="AU173" s="14" t="s">
        <v>35</v>
      </c>
      <c r="AV173" s="14" t="s">
        <v>38</v>
      </c>
      <c r="AW173" s="14" t="s">
        <v>38</v>
      </c>
      <c r="AX173" s="29">
        <v>35</v>
      </c>
      <c r="AY173" s="29">
        <v>3889</v>
      </c>
      <c r="AZ173" s="29">
        <v>41</v>
      </c>
      <c r="BA173" s="29">
        <v>3755</v>
      </c>
      <c r="BB173" s="14" t="s">
        <v>40</v>
      </c>
      <c r="BC173" s="14">
        <v>4</v>
      </c>
      <c r="BD173" s="14">
        <v>2.6</v>
      </c>
      <c r="BE173" s="14" t="s">
        <v>40</v>
      </c>
      <c r="BF173" s="35" t="s">
        <v>419</v>
      </c>
      <c r="BG173" s="36">
        <f>T173/100*(44)*17.99</f>
        <v>72530.32617599999</v>
      </c>
      <c r="BH173" s="36">
        <f>T173/100*(56)*35.98</f>
        <v>184622.648448</v>
      </c>
      <c r="BI173" s="37">
        <f t="shared" si="9"/>
        <v>257152.97462399997</v>
      </c>
      <c r="BJ173" s="36"/>
      <c r="BK173" s="37">
        <f>BJ173+BI173</f>
        <v>257152.97462399997</v>
      </c>
      <c r="BL173" s="38">
        <v>1.2987000000000002</v>
      </c>
      <c r="BM173" s="38">
        <f t="shared" si="10"/>
        <v>3.8987000000000003</v>
      </c>
      <c r="BN173" s="37">
        <v>26821.428571428572</v>
      </c>
    </row>
    <row r="174" spans="1:66" s="17" customFormat="1" ht="45">
      <c r="A174" s="3" t="s">
        <v>420</v>
      </c>
      <c r="B174" s="2">
        <v>1937</v>
      </c>
      <c r="C174" s="3" t="s">
        <v>33</v>
      </c>
      <c r="D174" s="3" t="s">
        <v>91</v>
      </c>
      <c r="E174" s="3"/>
      <c r="F174" s="11" t="s">
        <v>35</v>
      </c>
      <c r="G174" s="3" t="s">
        <v>36</v>
      </c>
      <c r="H174" s="14" t="s">
        <v>36</v>
      </c>
      <c r="I174" s="31" t="s">
        <v>466</v>
      </c>
      <c r="J174" s="31">
        <v>742</v>
      </c>
      <c r="K174" s="14" t="s">
        <v>471</v>
      </c>
      <c r="L174" s="18">
        <v>5250</v>
      </c>
      <c r="M174" s="18">
        <v>5800</v>
      </c>
      <c r="N174" s="18">
        <v>4428</v>
      </c>
      <c r="O174" s="18">
        <v>4125</v>
      </c>
      <c r="P174" s="18">
        <v>4650</v>
      </c>
      <c r="Q174" s="18">
        <v>4744</v>
      </c>
      <c r="R174" s="18">
        <v>4480</v>
      </c>
      <c r="S174" s="32">
        <f>(R174-Q174)/R174</f>
        <v>-0.05892857142857143</v>
      </c>
      <c r="T174" s="18">
        <f>R174/100*77</f>
        <v>3449.6</v>
      </c>
      <c r="U174" s="14" t="s">
        <v>40</v>
      </c>
      <c r="V174" s="18">
        <v>3500</v>
      </c>
      <c r="W174" s="14" t="s">
        <v>42</v>
      </c>
      <c r="X174" s="18">
        <v>980</v>
      </c>
      <c r="Y174" s="14" t="s">
        <v>42</v>
      </c>
      <c r="Z174" s="33" t="s">
        <v>421</v>
      </c>
      <c r="AA174" s="14" t="s">
        <v>35</v>
      </c>
      <c r="AB174" s="18">
        <v>2585</v>
      </c>
      <c r="AC174" s="14" t="s">
        <v>38</v>
      </c>
      <c r="AD174" s="18" t="s">
        <v>37</v>
      </c>
      <c r="AE174" s="18">
        <v>1</v>
      </c>
      <c r="AF174" s="18">
        <v>40</v>
      </c>
      <c r="AG174" s="14" t="s">
        <v>40</v>
      </c>
      <c r="AH174" s="14">
        <v>0</v>
      </c>
      <c r="AI174" s="20">
        <v>0</v>
      </c>
      <c r="AJ174" s="14">
        <v>2</v>
      </c>
      <c r="AK174" s="14" t="s">
        <v>40</v>
      </c>
      <c r="AL174" s="14">
        <v>2</v>
      </c>
      <c r="AM174" s="14">
        <v>50</v>
      </c>
      <c r="AN174" s="14" t="s">
        <v>42</v>
      </c>
      <c r="AO174" s="14">
        <v>1</v>
      </c>
      <c r="AP174" s="14">
        <v>30</v>
      </c>
      <c r="AQ174" s="14" t="s">
        <v>42</v>
      </c>
      <c r="AR174" s="14" t="s">
        <v>38</v>
      </c>
      <c r="AS174" s="34"/>
      <c r="AT174" s="34"/>
      <c r="AU174" s="14" t="s">
        <v>35</v>
      </c>
      <c r="AV174" s="14" t="s">
        <v>38</v>
      </c>
      <c r="AW174" s="14" t="s">
        <v>38</v>
      </c>
      <c r="AX174" s="29">
        <v>17</v>
      </c>
      <c r="AY174" s="29">
        <v>771</v>
      </c>
      <c r="AZ174" s="29">
        <v>17</v>
      </c>
      <c r="BA174" s="29">
        <v>742</v>
      </c>
      <c r="BB174" s="14" t="s">
        <v>40</v>
      </c>
      <c r="BC174" s="14">
        <v>0</v>
      </c>
      <c r="BD174" s="14">
        <v>0</v>
      </c>
      <c r="BE174" s="14" t="s">
        <v>37</v>
      </c>
      <c r="BF174" s="35" t="s">
        <v>422</v>
      </c>
      <c r="BG174" s="36">
        <f>T174/100*(47)*8.9</f>
        <v>14429.676800000001</v>
      </c>
      <c r="BH174" s="36">
        <f>T174/100*(53)*17.79</f>
        <v>32525.24352</v>
      </c>
      <c r="BI174" s="37">
        <f t="shared" si="9"/>
        <v>46954.920320000005</v>
      </c>
      <c r="BJ174" s="36">
        <v>6030.76</v>
      </c>
      <c r="BK174" s="37">
        <f>BJ174+BI174</f>
        <v>52985.68032000001</v>
      </c>
      <c r="BL174" s="38">
        <v>0</v>
      </c>
      <c r="BM174" s="38">
        <f t="shared" si="10"/>
        <v>0</v>
      </c>
      <c r="BN174" s="37">
        <v>5300</v>
      </c>
    </row>
    <row r="175" spans="1:66" s="17" customFormat="1" ht="45" customHeight="1">
      <c r="A175" s="3" t="s">
        <v>459</v>
      </c>
      <c r="B175" s="2">
        <v>956</v>
      </c>
      <c r="C175" s="3" t="s">
        <v>33</v>
      </c>
      <c r="D175" s="3" t="s">
        <v>50</v>
      </c>
      <c r="E175" s="3"/>
      <c r="F175" s="15"/>
      <c r="G175" s="3" t="s">
        <v>36</v>
      </c>
      <c r="H175" s="15"/>
      <c r="I175" s="31"/>
      <c r="J175" s="31"/>
      <c r="K175" s="15"/>
      <c r="L175" s="18">
        <v>1861</v>
      </c>
      <c r="M175" s="18">
        <v>2242</v>
      </c>
      <c r="N175" s="18">
        <v>2242</v>
      </c>
      <c r="O175" s="18">
        <v>1899</v>
      </c>
      <c r="P175" s="18"/>
      <c r="Q175" s="18"/>
      <c r="R175" s="18"/>
      <c r="S175" s="32"/>
      <c r="T175" s="18"/>
      <c r="U175" s="15"/>
      <c r="V175" s="18"/>
      <c r="W175" s="15"/>
      <c r="X175" s="18"/>
      <c r="Y175" s="15"/>
      <c r="Z175" s="52"/>
      <c r="AA175" s="15" t="s">
        <v>38</v>
      </c>
      <c r="AB175" s="18"/>
      <c r="AC175" s="15"/>
      <c r="AD175" s="18"/>
      <c r="AE175" s="18"/>
      <c r="AF175" s="18"/>
      <c r="AG175" s="15"/>
      <c r="AH175" s="15"/>
      <c r="AI175" s="21"/>
      <c r="AJ175" s="15"/>
      <c r="AK175" s="15"/>
      <c r="AL175" s="15"/>
      <c r="AM175" s="15"/>
      <c r="AN175" s="15"/>
      <c r="AO175" s="15"/>
      <c r="AP175" s="15"/>
      <c r="AQ175" s="15"/>
      <c r="AR175" s="15" t="s">
        <v>35</v>
      </c>
      <c r="AS175" s="34">
        <v>1</v>
      </c>
      <c r="AT175" s="34">
        <v>0.3</v>
      </c>
      <c r="AU175" s="15" t="s">
        <v>35</v>
      </c>
      <c r="AV175" s="15"/>
      <c r="AW175" s="15"/>
      <c r="AX175" s="29"/>
      <c r="AY175" s="29"/>
      <c r="AZ175" s="29"/>
      <c r="BA175" s="29"/>
      <c r="BB175" s="15"/>
      <c r="BC175" s="15"/>
      <c r="BD175" s="15"/>
      <c r="BE175" s="15"/>
      <c r="BF175" s="53"/>
      <c r="BG175" s="36"/>
      <c r="BH175" s="36"/>
      <c r="BI175" s="37"/>
      <c r="BJ175" s="36"/>
      <c r="BK175" s="37"/>
      <c r="BL175" s="38"/>
      <c r="BM175" s="38">
        <f t="shared" si="10"/>
        <v>0</v>
      </c>
      <c r="BN175" s="37"/>
    </row>
    <row r="176" spans="1:66" s="17" customFormat="1" ht="45" customHeight="1">
      <c r="A176" s="3" t="s">
        <v>460</v>
      </c>
      <c r="B176" s="2">
        <v>1519</v>
      </c>
      <c r="C176" s="3" t="s">
        <v>33</v>
      </c>
      <c r="D176" s="3" t="s">
        <v>34</v>
      </c>
      <c r="E176" s="3"/>
      <c r="F176" s="15"/>
      <c r="G176" s="3" t="s">
        <v>36</v>
      </c>
      <c r="H176" s="15"/>
      <c r="I176" s="31"/>
      <c r="J176" s="31"/>
      <c r="K176" s="15"/>
      <c r="L176" s="18">
        <v>2128</v>
      </c>
      <c r="M176" s="18">
        <v>2287</v>
      </c>
      <c r="N176" s="18">
        <v>2512</v>
      </c>
      <c r="O176" s="18">
        <v>1609</v>
      </c>
      <c r="P176" s="18">
        <v>1904</v>
      </c>
      <c r="Q176" s="18">
        <v>1803</v>
      </c>
      <c r="R176" s="18"/>
      <c r="S176" s="32"/>
      <c r="T176" s="18"/>
      <c r="U176" s="15"/>
      <c r="V176" s="18"/>
      <c r="W176" s="15"/>
      <c r="X176" s="18"/>
      <c r="Y176" s="15"/>
      <c r="Z176" s="52"/>
      <c r="AA176" s="15" t="s">
        <v>35</v>
      </c>
      <c r="AB176" s="18"/>
      <c r="AC176" s="15"/>
      <c r="AD176" s="18"/>
      <c r="AE176" s="18"/>
      <c r="AF176" s="18"/>
      <c r="AG176" s="15"/>
      <c r="AH176" s="15"/>
      <c r="AI176" s="21"/>
      <c r="AJ176" s="15"/>
      <c r="AK176" s="15"/>
      <c r="AL176" s="15"/>
      <c r="AM176" s="15"/>
      <c r="AN176" s="15"/>
      <c r="AO176" s="15"/>
      <c r="AP176" s="15"/>
      <c r="AQ176" s="15"/>
      <c r="AR176" s="15" t="s">
        <v>35</v>
      </c>
      <c r="AS176" s="34">
        <v>4</v>
      </c>
      <c r="AT176" s="34">
        <v>1</v>
      </c>
      <c r="AU176" s="15" t="s">
        <v>35</v>
      </c>
      <c r="AV176" s="15"/>
      <c r="AW176" s="15"/>
      <c r="AX176" s="29">
        <v>152</v>
      </c>
      <c r="AY176" s="29">
        <v>5100</v>
      </c>
      <c r="AZ176" s="29"/>
      <c r="BA176" s="29"/>
      <c r="BB176" s="15"/>
      <c r="BC176" s="15"/>
      <c r="BD176" s="15"/>
      <c r="BE176" s="15"/>
      <c r="BF176" s="53"/>
      <c r="BG176" s="36"/>
      <c r="BH176" s="36"/>
      <c r="BI176" s="37"/>
      <c r="BJ176" s="36"/>
      <c r="BK176" s="37"/>
      <c r="BL176" s="38"/>
      <c r="BM176" s="38">
        <f t="shared" si="10"/>
        <v>0</v>
      </c>
      <c r="BN176" s="37"/>
    </row>
    <row r="177" spans="1:70" ht="18">
      <c r="A177" s="54"/>
      <c r="B177" s="17"/>
      <c r="C177" s="17"/>
      <c r="D177" s="17"/>
      <c r="E177" s="17"/>
      <c r="F177" s="17"/>
      <c r="G177" s="17"/>
      <c r="H177" s="17"/>
      <c r="I177" s="55"/>
      <c r="J177" s="55"/>
      <c r="K177" s="17"/>
      <c r="S177" s="56"/>
      <c r="U177" s="17"/>
      <c r="W177" s="17"/>
      <c r="Y177" s="17"/>
      <c r="Z177" s="57"/>
      <c r="AA177" s="17"/>
      <c r="AC177" s="17"/>
      <c r="AG177" s="17"/>
      <c r="AH177" s="17"/>
      <c r="AI177" s="58"/>
      <c r="AJ177" s="17"/>
      <c r="AK177" s="17"/>
      <c r="AL177" s="17"/>
      <c r="AM177" s="17"/>
      <c r="AN177" s="17"/>
      <c r="AO177" s="17"/>
      <c r="AP177" s="17"/>
      <c r="AQ177" s="17"/>
      <c r="AR177" s="17"/>
      <c r="AS177" s="59"/>
      <c r="AT177" s="59"/>
      <c r="AU177" s="17"/>
      <c r="AV177" s="17"/>
      <c r="AW177" s="17"/>
      <c r="AX177" s="30"/>
      <c r="AY177" s="30"/>
      <c r="AZ177" s="30"/>
      <c r="BA177" s="30"/>
      <c r="BB177" s="17"/>
      <c r="BC177" s="17"/>
      <c r="BD177" s="17"/>
      <c r="BE177" s="17"/>
      <c r="BF177" s="60"/>
      <c r="BG177" s="61"/>
      <c r="BH177" s="61"/>
      <c r="BI177" s="62"/>
      <c r="BJ177" s="63"/>
      <c r="BK177" s="64"/>
      <c r="BL177" s="17"/>
      <c r="BM177" s="17"/>
      <c r="BN177" s="64"/>
      <c r="BO177" s="17"/>
      <c r="BP177" s="17"/>
      <c r="BQ177" s="17"/>
      <c r="BR177" s="17"/>
    </row>
    <row r="178" spans="1:70" ht="15">
      <c r="A178" s="54"/>
      <c r="B178" s="17"/>
      <c r="C178" s="17"/>
      <c r="D178" s="17"/>
      <c r="E178" s="17"/>
      <c r="F178" s="17"/>
      <c r="G178" s="17"/>
      <c r="H178" s="17"/>
      <c r="I178" s="55"/>
      <c r="J178" s="55"/>
      <c r="K178" s="17"/>
      <c r="S178" s="17"/>
      <c r="U178" s="17"/>
      <c r="W178" s="17"/>
      <c r="Y178" s="17"/>
      <c r="Z178" s="57"/>
      <c r="AA178" s="17"/>
      <c r="AC178" s="17"/>
      <c r="AG178" s="17"/>
      <c r="AH178" s="17"/>
      <c r="AI178" s="58"/>
      <c r="AJ178" s="17"/>
      <c r="AK178" s="17"/>
      <c r="AL178" s="17"/>
      <c r="AM178" s="17"/>
      <c r="AN178" s="17"/>
      <c r="AO178" s="17"/>
      <c r="AP178" s="17"/>
      <c r="AQ178" s="17"/>
      <c r="AR178" s="17"/>
      <c r="AS178" s="59"/>
      <c r="AT178" s="59"/>
      <c r="AU178" s="17"/>
      <c r="AV178" s="17"/>
      <c r="AW178" s="17"/>
      <c r="AX178" s="30"/>
      <c r="AY178" s="30"/>
      <c r="AZ178" s="30"/>
      <c r="BA178" s="30"/>
      <c r="BB178" s="17"/>
      <c r="BC178" s="17"/>
      <c r="BD178" s="17"/>
      <c r="BE178" s="17"/>
      <c r="BF178" s="60"/>
      <c r="BG178" s="61"/>
      <c r="BH178" s="61"/>
      <c r="BI178" s="62"/>
      <c r="BJ178" s="63"/>
      <c r="BK178" s="64"/>
      <c r="BL178" s="17"/>
      <c r="BM178" s="17"/>
      <c r="BN178" s="64"/>
      <c r="BO178" s="17"/>
      <c r="BP178" s="17"/>
      <c r="BQ178" s="17"/>
      <c r="BR178" s="17"/>
    </row>
    <row r="179" spans="1:70" ht="15">
      <c r="A179" s="54"/>
      <c r="B179" s="17"/>
      <c r="C179" s="17"/>
      <c r="D179" s="17"/>
      <c r="E179" s="17"/>
      <c r="F179" s="17"/>
      <c r="G179" s="17"/>
      <c r="H179" s="17"/>
      <c r="I179" s="55"/>
      <c r="J179" s="55"/>
      <c r="K179" s="17"/>
      <c r="S179" s="17"/>
      <c r="U179" s="17"/>
      <c r="W179" s="17"/>
      <c r="Y179" s="17"/>
      <c r="Z179" s="57"/>
      <c r="AA179" s="17"/>
      <c r="AC179" s="17"/>
      <c r="AG179" s="17"/>
      <c r="AH179" s="17"/>
      <c r="AI179" s="58"/>
      <c r="AJ179" s="17"/>
      <c r="AK179" s="17"/>
      <c r="AL179" s="17"/>
      <c r="AM179" s="17"/>
      <c r="AN179" s="17"/>
      <c r="AO179" s="17"/>
      <c r="AP179" s="17"/>
      <c r="AQ179" s="17"/>
      <c r="AR179" s="17"/>
      <c r="AS179" s="59"/>
      <c r="AT179" s="59"/>
      <c r="AU179" s="17"/>
      <c r="AV179" s="17"/>
      <c r="AW179" s="17"/>
      <c r="BB179" s="17"/>
      <c r="BC179" s="17"/>
      <c r="BD179" s="17"/>
      <c r="BE179" s="17"/>
      <c r="BF179" s="60"/>
      <c r="BG179" s="61"/>
      <c r="BH179" s="61"/>
      <c r="BI179" s="62"/>
      <c r="BJ179" s="63"/>
      <c r="BK179" s="64"/>
      <c r="BL179" s="17"/>
      <c r="BM179" s="17"/>
      <c r="BN179" s="64"/>
      <c r="BO179" s="17"/>
      <c r="BP179" s="17"/>
      <c r="BQ179" s="17"/>
      <c r="BR179" s="17"/>
    </row>
  </sheetData>
  <sheetProtection/>
  <autoFilter ref="A1:BF176">
    <sortState ref="A2:BF179">
      <sortCondition sortBy="value" ref="A2:A179"/>
    </sortState>
  </autoFilter>
  <printOptions/>
  <pageMargins left="0.7" right="0.7" top="0.75" bottom="0.75" header="0.3" footer="0.3"/>
  <pageSetup horizontalDpi="600" verticalDpi="600" orientation="portrait" paperSize="9" r:id="rId3"/>
  <ignoredErrors>
    <ignoredError sqref="T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Bristol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Newman</dc:creator>
  <cp:keywords/>
  <dc:description/>
  <cp:lastModifiedBy>Everitt, Jamie</cp:lastModifiedBy>
  <dcterms:created xsi:type="dcterms:W3CDTF">2016-11-07T14:14:51Z</dcterms:created>
  <dcterms:modified xsi:type="dcterms:W3CDTF">2017-08-01T13:13:15Z</dcterms:modified>
  <cp:category/>
  <cp:version/>
  <cp:contentType/>
  <cp:contentStatus/>
</cp:coreProperties>
</file>